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480" windowHeight="11640" firstSheet="3" activeTab="3"/>
  </bookViews>
  <sheets>
    <sheet name="包装生产单" sheetId="1" r:id="rId1"/>
    <sheet name="名片生产单" sheetId="2" r:id="rId2"/>
    <sheet name="票据生产单" sheetId="3" r:id="rId3"/>
    <sheet name="无碳复写票据报价" sheetId="4" r:id="rId4"/>
    <sheet name="票据尺寸" sheetId="5" state="hidden" r:id="rId5"/>
    <sheet name="彩色宣传单报价" sheetId="6" state="hidden" r:id="rId6"/>
    <sheet name="宣传单尺寸" sheetId="7" state="hidden" r:id="rId7"/>
    <sheet name="纸张价格" sheetId="8" state="hidden" r:id="rId8"/>
  </sheets>
  <definedNames/>
  <calcPr fullCalcOnLoad="1" fullPrecision="0"/>
</workbook>
</file>

<file path=xl/sharedStrings.xml><?xml version="1.0" encoding="utf-8"?>
<sst xmlns="http://schemas.openxmlformats.org/spreadsheetml/2006/main" count="340" uniqueCount="254">
  <si>
    <t>联数</t>
  </si>
  <si>
    <t>合计</t>
  </si>
  <si>
    <t>印刷数量（本）</t>
  </si>
  <si>
    <t>成品尺寸</t>
  </si>
  <si>
    <t>每本组数</t>
  </si>
  <si>
    <t>是否打号</t>
  </si>
  <si>
    <t>纸张质量</t>
  </si>
  <si>
    <t>片钱</t>
  </si>
  <si>
    <t>印刷费</t>
  </si>
  <si>
    <t>装订费</t>
  </si>
  <si>
    <t>再生正</t>
  </si>
  <si>
    <t>混浆正</t>
  </si>
  <si>
    <t>原浆正</t>
  </si>
  <si>
    <t>再生大</t>
  </si>
  <si>
    <t>混浆大</t>
  </si>
  <si>
    <t>原浆大</t>
  </si>
  <si>
    <t>开数</t>
  </si>
  <si>
    <t>下料开数</t>
  </si>
  <si>
    <t>下料尺寸</t>
  </si>
  <si>
    <t>260*360mm</t>
  </si>
  <si>
    <t>216*390mm</t>
  </si>
  <si>
    <t>是否同版</t>
  </si>
  <si>
    <t>千印费</t>
  </si>
  <si>
    <t>起机费</t>
  </si>
  <si>
    <t>纸张加放</t>
  </si>
  <si>
    <t>上下纸钱数</t>
  </si>
  <si>
    <t>单价(本)</t>
  </si>
  <si>
    <t>哈尔滨家兴图文设计有限公司</t>
  </si>
  <si>
    <t>中纸钱数</t>
  </si>
  <si>
    <t>纸张钱数合计</t>
  </si>
  <si>
    <t>联系电话：15846639590</t>
  </si>
  <si>
    <t>报价QQ：648030325</t>
  </si>
  <si>
    <t>传稿QQ：1434979252</t>
  </si>
  <si>
    <t>公司地址：哈尔滨市道里区新阳路510号欧洲新城小区香榭丽舍Ａ栋920室</t>
  </si>
  <si>
    <t>成品开数</t>
  </si>
  <si>
    <t>上下纸价（令）</t>
  </si>
  <si>
    <t>中纸价（令）</t>
  </si>
  <si>
    <t>千转数</t>
  </si>
  <si>
    <t>票据报价器</t>
  </si>
  <si>
    <t>纸张</t>
  </si>
  <si>
    <t>上下纸</t>
  </si>
  <si>
    <t>中纸</t>
  </si>
  <si>
    <t>订货日期</t>
  </si>
  <si>
    <t>交货日期</t>
  </si>
  <si>
    <t>订印单位</t>
  </si>
  <si>
    <t>订印人</t>
  </si>
  <si>
    <t>印品名称</t>
  </si>
  <si>
    <t>客户电话</t>
  </si>
  <si>
    <t>纸张品牌</t>
  </si>
  <si>
    <t>纸行电话</t>
  </si>
  <si>
    <t>用纸种类</t>
  </si>
  <si>
    <t>字色</t>
  </si>
  <si>
    <t>字色备注</t>
  </si>
  <si>
    <t>版数</t>
  </si>
  <si>
    <t>票据起始号码</t>
  </si>
  <si>
    <t>装订方式</t>
  </si>
  <si>
    <t>码头起始号码示意</t>
  </si>
  <si>
    <t>注意事项</t>
  </si>
  <si>
    <t>成品数量(本)</t>
  </si>
  <si>
    <t>送货地址</t>
  </si>
  <si>
    <t>440*297mm</t>
  </si>
  <si>
    <t>210*285mm</t>
  </si>
  <si>
    <t>390*272mm</t>
  </si>
  <si>
    <t>185*260mm</t>
  </si>
  <si>
    <t>440*238mm</t>
  </si>
  <si>
    <t>285*420mm</t>
  </si>
  <si>
    <t>54*90mm</t>
  </si>
  <si>
    <t>83*175mm</t>
  </si>
  <si>
    <t>85*175mm</t>
  </si>
  <si>
    <t>95*177mm</t>
  </si>
  <si>
    <t>130*185mm</t>
  </si>
  <si>
    <t>100*190mm</t>
  </si>
  <si>
    <t>130*190mm</t>
  </si>
  <si>
    <t>85*190mm</t>
  </si>
  <si>
    <t>140*210mm</t>
  </si>
  <si>
    <t>145*210mm</t>
  </si>
  <si>
    <t>75*105mm</t>
  </si>
  <si>
    <t>90*190mm</t>
  </si>
  <si>
    <t>90*210mm</t>
  </si>
  <si>
    <t>生产单号</t>
  </si>
  <si>
    <t>126*259mm</t>
  </si>
  <si>
    <t>125*177mm</t>
  </si>
  <si>
    <t>390*360mm</t>
  </si>
  <si>
    <t>105*185mm</t>
  </si>
  <si>
    <t>纸张</t>
  </si>
  <si>
    <t>印刷数量</t>
  </si>
  <si>
    <t>印刷面</t>
  </si>
  <si>
    <t>成品开数</t>
  </si>
  <si>
    <t>尺寸</t>
  </si>
  <si>
    <t>210*285mm</t>
  </si>
  <si>
    <t>成品尺寸</t>
  </si>
  <si>
    <t>纸钱</t>
  </si>
  <si>
    <t>版费</t>
  </si>
  <si>
    <t>印刷费</t>
  </si>
  <si>
    <t>成品开数</t>
  </si>
  <si>
    <t>纸张单价</t>
  </si>
  <si>
    <t>千转数</t>
  </si>
  <si>
    <t>105*140mm</t>
  </si>
  <si>
    <t>420*570mm</t>
  </si>
  <si>
    <t>185*260mm</t>
  </si>
  <si>
    <t>90*130mm</t>
  </si>
  <si>
    <t>370*520mm</t>
  </si>
  <si>
    <t>260*370mm</t>
  </si>
  <si>
    <t>出厂单价</t>
  </si>
  <si>
    <t>报价(含税)</t>
  </si>
  <si>
    <t>报价(未税)</t>
  </si>
  <si>
    <t>设计费</t>
  </si>
  <si>
    <t>合计</t>
  </si>
  <si>
    <t>上机开数</t>
  </si>
  <si>
    <t>是否设计</t>
  </si>
  <si>
    <t>68*420mm</t>
  </si>
  <si>
    <t>68*200mm</t>
  </si>
  <si>
    <t>单彩传单报价</t>
  </si>
  <si>
    <t>折页费</t>
  </si>
  <si>
    <t>几折</t>
  </si>
  <si>
    <t>192*265mm</t>
  </si>
  <si>
    <t>105*145mm</t>
  </si>
  <si>
    <t>440*300mm</t>
  </si>
  <si>
    <t>85*185mm</t>
  </si>
  <si>
    <t>265*385mm</t>
  </si>
  <si>
    <t>是</t>
  </si>
  <si>
    <t>65克青涂大</t>
  </si>
  <si>
    <t>110*210mm</t>
  </si>
  <si>
    <t>95*130mm</t>
  </si>
  <si>
    <t>62*130mm</t>
  </si>
  <si>
    <t>72*145mm</t>
  </si>
  <si>
    <t>123*240mm</t>
  </si>
  <si>
    <t>100*122mm</t>
  </si>
  <si>
    <t>金太阳</t>
  </si>
  <si>
    <t>预付款金额</t>
  </si>
  <si>
    <t>余款金额</t>
  </si>
  <si>
    <t>175*258mm</t>
  </si>
  <si>
    <t>125*208mm</t>
  </si>
  <si>
    <t>家兴印刷名片生产单</t>
  </si>
  <si>
    <t>印刷颜色</t>
  </si>
  <si>
    <t>印刷方式</t>
  </si>
  <si>
    <r>
      <t>印数(盒</t>
    </r>
    <r>
      <rPr>
        <sz val="12"/>
        <rFont val="黑体"/>
        <family val="0"/>
      </rPr>
      <t>)</t>
    </r>
  </si>
  <si>
    <t>印刷参照小样</t>
  </si>
  <si>
    <t>人    名</t>
  </si>
  <si>
    <t>工    艺</t>
  </si>
  <si>
    <t>家兴印刷包装生产单</t>
  </si>
  <si>
    <t>面纸品牌</t>
  </si>
  <si>
    <t>单价(元)</t>
  </si>
  <si>
    <t>合计(元)</t>
  </si>
  <si>
    <t>单价□含税</t>
  </si>
  <si>
    <t>设计费(元)</t>
  </si>
  <si>
    <t>□起鼓□烫金□压痕</t>
  </si>
  <si>
    <t>包装名称</t>
  </si>
  <si>
    <t>用纸量(张)</t>
  </si>
  <si>
    <t>部件名称</t>
  </si>
  <si>
    <t>下料尺寸</t>
  </si>
  <si>
    <t>成品料数量</t>
  </si>
  <si>
    <t>下料方式</t>
  </si>
  <si>
    <t>裁切</t>
  </si>
  <si>
    <t>板纸规格</t>
  </si>
  <si>
    <t>板纸品牌</t>
  </si>
  <si>
    <t>里纸品牌</t>
  </si>
  <si>
    <t>纸张厚度</t>
  </si>
  <si>
    <t>里纸规格</t>
  </si>
  <si>
    <t>台历里纸</t>
  </si>
  <si>
    <t>开纸示意</t>
  </si>
  <si>
    <t>备注事项</t>
  </si>
  <si>
    <t>面纸规格</t>
  </si>
  <si>
    <t>k=100</t>
  </si>
  <si>
    <t>1+0</t>
  </si>
  <si>
    <t>2011.12.13</t>
  </si>
  <si>
    <t>2010.12.30</t>
  </si>
  <si>
    <t>家兴图文</t>
  </si>
  <si>
    <t>李春宝</t>
  </si>
  <si>
    <t>文具盒</t>
  </si>
  <si>
    <t>20*190mm</t>
  </si>
  <si>
    <t>盒正面1</t>
  </si>
  <si>
    <t>盒正面2</t>
  </si>
  <si>
    <t>85*190mm</t>
  </si>
  <si>
    <t>盒正面3</t>
  </si>
  <si>
    <t>40*190mm</t>
  </si>
  <si>
    <t>里盒</t>
  </si>
  <si>
    <t>40*175mm/80*40mm</t>
  </si>
  <si>
    <r>
      <t>各2</t>
    </r>
    <r>
      <rPr>
        <sz val="12"/>
        <color indexed="8"/>
        <rFont val="宋体"/>
        <family val="0"/>
      </rPr>
      <t>000</t>
    </r>
  </si>
  <si>
    <r>
      <t>1</t>
    </r>
    <r>
      <rPr>
        <sz val="12"/>
        <rFont val="宋体"/>
        <family val="0"/>
      </rPr>
      <t>57克铜版彩印</t>
    </r>
  </si>
  <si>
    <r>
      <t>1</t>
    </r>
    <r>
      <rPr>
        <sz val="12"/>
        <color indexed="8"/>
        <rFont val="宋体"/>
        <family val="0"/>
      </rPr>
      <t>57</t>
    </r>
    <r>
      <rPr>
        <sz val="12"/>
        <color indexed="8"/>
        <rFont val="宋体"/>
        <family val="0"/>
      </rPr>
      <t>克</t>
    </r>
  </si>
  <si>
    <t>盒包面</t>
  </si>
  <si>
    <r>
      <t>2</t>
    </r>
    <r>
      <rPr>
        <sz val="12"/>
        <rFont val="宋体"/>
        <family val="0"/>
      </rPr>
      <t>25</t>
    </r>
    <r>
      <rPr>
        <sz val="12"/>
        <rFont val="宋体"/>
        <family val="0"/>
      </rPr>
      <t>*</t>
    </r>
    <r>
      <rPr>
        <sz val="12"/>
        <rFont val="宋体"/>
        <family val="0"/>
      </rPr>
      <t>305</t>
    </r>
    <r>
      <rPr>
        <sz val="12"/>
        <rFont val="宋体"/>
        <family val="0"/>
      </rPr>
      <t>mm</t>
    </r>
  </si>
  <si>
    <t>里框包面</t>
  </si>
  <si>
    <r>
      <t>1</t>
    </r>
    <r>
      <rPr>
        <sz val="12"/>
        <rFont val="宋体"/>
        <family val="0"/>
      </rPr>
      <t>75</t>
    </r>
    <r>
      <rPr>
        <sz val="12"/>
        <rFont val="宋体"/>
        <family val="0"/>
      </rPr>
      <t>*</t>
    </r>
    <r>
      <rPr>
        <sz val="12"/>
        <rFont val="宋体"/>
        <family val="0"/>
      </rPr>
      <t>2</t>
    </r>
    <r>
      <rPr>
        <sz val="12"/>
        <rFont val="宋体"/>
        <family val="0"/>
      </rPr>
      <t>55</t>
    </r>
    <r>
      <rPr>
        <sz val="12"/>
        <rFont val="宋体"/>
        <family val="0"/>
      </rPr>
      <t>mm</t>
    </r>
  </si>
  <si>
    <t>82.5*290mm</t>
  </si>
  <si>
    <t>□单面■双面□套字</t>
  </si>
  <si>
    <r>
      <t>加放(张</t>
    </r>
    <r>
      <rPr>
        <sz val="12"/>
        <rFont val="黑体"/>
        <family val="0"/>
      </rPr>
      <t>)</t>
    </r>
  </si>
  <si>
    <t>下料裁数(开)</t>
  </si>
  <si>
    <t>印刷正数(张)</t>
  </si>
  <si>
    <t>下料数量(张)</t>
  </si>
  <si>
    <t>出库数量(张)</t>
  </si>
  <si>
    <t>家 兴 印 刷 票 据 生 产 单</t>
  </si>
  <si>
    <t>2010.12.17</t>
  </si>
  <si>
    <t>兴合电动工具</t>
  </si>
  <si>
    <t>张明</t>
  </si>
  <si>
    <t>卡纸</t>
  </si>
  <si>
    <t>名片</t>
  </si>
  <si>
    <t>黑色</t>
  </si>
  <si>
    <t>2011.12.14</t>
  </si>
  <si>
    <t>成品数量</t>
  </si>
  <si>
    <t>混浆正度(上白)</t>
  </si>
  <si>
    <t>77*177mm</t>
  </si>
  <si>
    <r>
      <t>2011.12.</t>
    </r>
    <r>
      <rPr>
        <sz val="12"/>
        <color indexed="8"/>
        <rFont val="黑体"/>
        <family val="0"/>
      </rPr>
      <t>30</t>
    </r>
  </si>
  <si>
    <r>
      <t>2010.</t>
    </r>
    <r>
      <rPr>
        <sz val="12"/>
        <color indexed="8"/>
        <rFont val="黑体"/>
        <family val="0"/>
      </rPr>
      <t>1</t>
    </r>
    <r>
      <rPr>
        <sz val="12"/>
        <color indexed="8"/>
        <rFont val="黑体"/>
        <family val="0"/>
      </rPr>
      <t>.</t>
    </r>
    <r>
      <rPr>
        <sz val="12"/>
        <color indexed="8"/>
        <rFont val="黑体"/>
        <family val="0"/>
      </rPr>
      <t>3</t>
    </r>
  </si>
  <si>
    <t>人和商业</t>
  </si>
  <si>
    <t>销售凭证</t>
  </si>
  <si>
    <t>混浆正度(中绿)</t>
  </si>
  <si>
    <t>混浆正度(下粉)</t>
  </si>
  <si>
    <t>■胶左 □胶天 □糊头 □打钉 □平订 □马订 □锁线胶订 □兜皮</t>
  </si>
  <si>
    <t>送货地址：道里</t>
  </si>
  <si>
    <t>0120000</t>
  </si>
  <si>
    <t>多刷点胶别掉页</t>
  </si>
  <si>
    <t>76*176mm</t>
  </si>
  <si>
    <t>393*363mm</t>
  </si>
  <si>
    <t>不打号</t>
  </si>
  <si>
    <t>60*130mm</t>
  </si>
  <si>
    <t>125*208mm</t>
  </si>
  <si>
    <t>90*208mm</t>
  </si>
  <si>
    <t>※些报价器功能不成熟，不建议使用</t>
  </si>
  <si>
    <t>100克双胶大</t>
  </si>
  <si>
    <t>105克铜大</t>
  </si>
  <si>
    <t>105克铜正</t>
  </si>
  <si>
    <t>128克铜大</t>
  </si>
  <si>
    <t>128克铜正</t>
  </si>
  <si>
    <t>157克铜大</t>
  </si>
  <si>
    <t>157克铜正</t>
  </si>
  <si>
    <t>200克铜大</t>
  </si>
  <si>
    <t>200克铜正</t>
  </si>
  <si>
    <t>250克铜大</t>
  </si>
  <si>
    <t>250克铜正</t>
  </si>
  <si>
    <t>28克有光</t>
  </si>
  <si>
    <t>300克铜大</t>
  </si>
  <si>
    <t>300克铜正</t>
  </si>
  <si>
    <t>40克有光</t>
  </si>
  <si>
    <t>52克双胶大</t>
  </si>
  <si>
    <t>55克古板大</t>
  </si>
  <si>
    <t>55克书写正</t>
  </si>
  <si>
    <t>55克双胶大</t>
  </si>
  <si>
    <t>55克双胶正</t>
  </si>
  <si>
    <t>60克双胶大</t>
  </si>
  <si>
    <t>60克双胶正</t>
  </si>
  <si>
    <t>65克青涂大</t>
  </si>
  <si>
    <t>65克青涂正</t>
  </si>
  <si>
    <t>70克青涂大</t>
  </si>
  <si>
    <t>70克青涂正</t>
  </si>
  <si>
    <t>70克双胶大</t>
  </si>
  <si>
    <t>70克双胶正</t>
  </si>
  <si>
    <t>80克双胶大</t>
  </si>
  <si>
    <t>80克双胶正</t>
  </si>
  <si>
    <t>80克铜大</t>
  </si>
  <si>
    <t>80克铜正</t>
  </si>
  <si>
    <t>上混下生正</t>
  </si>
  <si>
    <t>上原中混大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</si>
</sst>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_);[Red]\(0\)"/>
    <numFmt numFmtId="179" formatCode="0.0_ "/>
    <numFmt numFmtId="180" formatCode="0.00000_ "/>
    <numFmt numFmtId="181" formatCode="[$-F800]dddd\,\ mmmm\ dd\,\ yyyy"/>
    <numFmt numFmtId="182" formatCode="0000000"/>
    <numFmt numFmtId="183" formatCode="[$-804]yyyy&quot;年&quot;m&quot;月&quot;d&quot;日&quot;\ dddd"/>
    <numFmt numFmtId="184" formatCode="0_);\(0\)"/>
    <numFmt numFmtId="185" formatCode="0.00_);\(0.00\)"/>
    <numFmt numFmtId="186" formatCode="0;[Red]0"/>
  </numFmts>
  <fonts count="66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10"/>
      <name val="宋体"/>
      <family val="0"/>
    </font>
    <font>
      <sz val="12"/>
      <color indexed="9"/>
      <name val="黑体"/>
      <family val="0"/>
    </font>
    <font>
      <sz val="12"/>
      <color indexed="8"/>
      <name val="黑体"/>
      <family val="0"/>
    </font>
    <font>
      <sz val="12"/>
      <name val="黑体"/>
      <family val="0"/>
    </font>
    <font>
      <sz val="12"/>
      <color indexed="53"/>
      <name val="宋体"/>
      <family val="0"/>
    </font>
    <font>
      <sz val="12"/>
      <color indexed="8"/>
      <name val="宋体"/>
      <family val="0"/>
    </font>
    <font>
      <sz val="12"/>
      <color indexed="10"/>
      <name val="Arial Black"/>
      <family val="2"/>
    </font>
    <font>
      <sz val="12"/>
      <color indexed="20"/>
      <name val="宋体"/>
      <family val="0"/>
    </font>
    <font>
      <sz val="20"/>
      <color indexed="53"/>
      <name val="汉仪菱心体简"/>
      <family val="3"/>
    </font>
    <font>
      <sz val="12"/>
      <color indexed="9"/>
      <name val="方正粗倩简体"/>
      <family val="0"/>
    </font>
    <font>
      <sz val="12"/>
      <color indexed="9"/>
      <name val="方正大标宋简体"/>
      <family val="0"/>
    </font>
    <font>
      <sz val="12"/>
      <color indexed="55"/>
      <name val="黑体"/>
      <family val="0"/>
    </font>
    <font>
      <sz val="12"/>
      <color indexed="9"/>
      <name val="宋体"/>
      <family val="0"/>
    </font>
    <font>
      <sz val="24"/>
      <name val="汉仪菱心体简"/>
      <family val="3"/>
    </font>
    <font>
      <sz val="20"/>
      <color indexed="9"/>
      <name val="汉仪菱心体简"/>
      <family val="3"/>
    </font>
    <font>
      <sz val="20"/>
      <name val="汉仪菱心体简"/>
      <family val="3"/>
    </font>
    <font>
      <sz val="20"/>
      <color indexed="20"/>
      <name val="汉仪菱心体简"/>
      <family val="3"/>
    </font>
    <font>
      <sz val="11"/>
      <color indexed="9"/>
      <name val="宋体"/>
      <family val="0"/>
    </font>
    <font>
      <sz val="11"/>
      <name val="宋体"/>
      <family val="0"/>
    </font>
    <font>
      <sz val="14"/>
      <color indexed="8"/>
      <name val="黑体"/>
      <family val="0"/>
    </font>
    <font>
      <sz val="15"/>
      <color indexed="8"/>
      <name val="黑体"/>
      <family val="0"/>
    </font>
    <font>
      <sz val="16"/>
      <color indexed="8"/>
      <name val="宋体"/>
      <family val="0"/>
    </font>
    <font>
      <sz val="14"/>
      <color indexed="8"/>
      <name val="宋体"/>
      <family val="0"/>
    </font>
    <font>
      <sz val="18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color indexed="10"/>
      <name val="方正大黑简体"/>
      <family val="4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0"/>
      <name val="宋体"/>
      <family val="0"/>
    </font>
    <font>
      <sz val="12"/>
      <color theme="0"/>
      <name val="黑体"/>
      <family val="0"/>
    </font>
    <font>
      <sz val="18"/>
      <color rgb="FFFF0000"/>
      <name val="方正大黑简体"/>
      <family val="4"/>
    </font>
    <font>
      <sz val="18"/>
      <color theme="1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darkTrellis">
        <bgColor indexed="20"/>
      </patternFill>
    </fill>
    <fill>
      <patternFill patternType="darkGray">
        <bgColor indexed="20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darkTrellis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Alignment="0">
      <protection/>
    </xf>
    <xf numFmtId="0" fontId="1" fillId="0" borderId="0" applyFont="0" applyBorder="0" applyAlignment="0" applyProtection="0"/>
    <xf numFmtId="0" fontId="1" fillId="0" borderId="0" applyFont="0" applyBorder="0" applyAlignment="0" applyProtection="0"/>
    <xf numFmtId="0" fontId="1" fillId="0" borderId="0" applyFont="0" applyBorder="0" applyAlignment="0" applyProtection="0"/>
    <xf numFmtId="0" fontId="1" fillId="0" borderId="0" applyFont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9" fontId="2" fillId="0" borderId="0" applyNumberFormat="0" applyFont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4" fillId="0" borderId="0" applyFont="0" applyBorder="0" applyAlignment="0" applyProtection="0"/>
    <xf numFmtId="0" fontId="52" fillId="21" borderId="0" applyNumberFormat="0" applyBorder="0" applyAlignment="0" applyProtection="0"/>
    <xf numFmtId="0" fontId="53" fillId="0" borderId="4" applyNumberFormat="0" applyFill="0" applyAlignment="0" applyProtection="0"/>
    <xf numFmtId="44" fontId="2" fillId="0" borderId="0" applyNumberFormat="0" applyFont="0" applyBorder="0" applyAlignment="0" applyProtection="0"/>
    <xf numFmtId="42" fontId="2" fillId="0" borderId="0" applyNumberFormat="0" applyFont="0" applyBorder="0" applyAlignment="0" applyProtection="0"/>
    <xf numFmtId="0" fontId="54" fillId="22" borderId="5" applyNumberFormat="0" applyAlignment="0" applyProtection="0"/>
    <xf numFmtId="0" fontId="55" fillId="23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43" fontId="2" fillId="0" borderId="0" applyNumberFormat="0" applyFont="0" applyBorder="0" applyAlignment="0" applyProtection="0"/>
    <xf numFmtId="41" fontId="2" fillId="0" borderId="0" applyNumberFormat="0" applyFon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22" borderId="8" applyNumberFormat="0" applyAlignment="0" applyProtection="0"/>
    <xf numFmtId="0" fontId="61" fillId="31" borderId="5" applyNumberFormat="0" applyAlignment="0" applyProtection="0"/>
    <xf numFmtId="0" fontId="5" fillId="0" borderId="0" applyFont="0" applyBorder="0" applyAlignment="0" applyProtection="0"/>
    <xf numFmtId="0" fontId="1" fillId="32" borderId="9" applyNumberFormat="0" applyFont="0" applyAlignment="0" applyProtection="0"/>
  </cellStyleXfs>
  <cellXfs count="13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 wrapText="1"/>
      <protection locked="0"/>
    </xf>
    <xf numFmtId="0" fontId="8" fillId="33" borderId="0" xfId="0" applyFont="1" applyFill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176" fontId="13" fillId="0" borderId="0" xfId="0" applyNumberFormat="1" applyFont="1" applyAlignment="1" applyProtection="1">
      <alignment horizontal="center" vertical="center" wrapText="1"/>
      <protection locked="0"/>
    </xf>
    <xf numFmtId="0" fontId="9" fillId="33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2" fontId="11" fillId="0" borderId="11" xfId="0" applyNumberFormat="1" applyFont="1" applyBorder="1" applyAlignment="1">
      <alignment horizontal="center" vertical="center"/>
    </xf>
    <xf numFmtId="182" fontId="11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4" borderId="0" xfId="0" applyFill="1" applyAlignment="1" applyProtection="1">
      <alignment horizontal="center" vertical="center" wrapText="1"/>
      <protection locked="0"/>
    </xf>
    <xf numFmtId="0" fontId="7" fillId="34" borderId="0" xfId="0" applyFont="1" applyFill="1" applyAlignment="1" applyProtection="1">
      <alignment horizontal="center" vertical="center" wrapText="1"/>
      <protection locked="0"/>
    </xf>
    <xf numFmtId="0" fontId="0" fillId="34" borderId="0" xfId="0" applyFill="1" applyAlignment="1" applyProtection="1">
      <alignment horizontal="center" vertical="center" wrapText="1"/>
      <protection/>
    </xf>
    <xf numFmtId="0" fontId="17" fillId="33" borderId="0" xfId="0" applyFont="1" applyFill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78" fontId="12" fillId="0" borderId="0" xfId="0" applyNumberFormat="1" applyFont="1" applyAlignment="1" applyProtection="1">
      <alignment horizontal="center" vertical="center" wrapText="1"/>
      <protection/>
    </xf>
    <xf numFmtId="182" fontId="18" fillId="0" borderId="11" xfId="0" applyNumberFormat="1" applyFont="1" applyBorder="1" applyAlignment="1">
      <alignment horizontal="center" vertical="center"/>
    </xf>
    <xf numFmtId="182" fontId="18" fillId="0" borderId="1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7" fillId="35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36" borderId="0" xfId="0" applyFont="1" applyFill="1" applyAlignment="1">
      <alignment horizontal="center" vertical="center"/>
    </xf>
    <xf numFmtId="176" fontId="12" fillId="0" borderId="0" xfId="0" applyNumberFormat="1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77" fontId="11" fillId="0" borderId="10" xfId="0" applyNumberFormat="1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33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177" fontId="11" fillId="0" borderId="10" xfId="0" applyNumberFormat="1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0" fillId="37" borderId="11" xfId="0" applyFill="1" applyBorder="1" applyAlignment="1">
      <alignment vertical="center"/>
    </xf>
    <xf numFmtId="0" fontId="0" fillId="37" borderId="0" xfId="0" applyFill="1" applyBorder="1" applyAlignment="1">
      <alignment vertical="center"/>
    </xf>
    <xf numFmtId="0" fontId="0" fillId="37" borderId="12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1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33" borderId="10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5" fillId="0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185" fontId="27" fillId="0" borderId="0" xfId="0" applyNumberFormat="1" applyFont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184" fontId="26" fillId="0" borderId="10" xfId="0" applyNumberFormat="1" applyFont="1" applyBorder="1" applyAlignment="1">
      <alignment horizontal="center" vertical="center"/>
    </xf>
    <xf numFmtId="179" fontId="28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177" fontId="1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6" fontId="12" fillId="0" borderId="0" xfId="0" applyNumberFormat="1" applyFont="1" applyAlignment="1" applyProtection="1">
      <alignment horizontal="center" vertical="center" wrapText="1"/>
      <protection/>
    </xf>
    <xf numFmtId="177" fontId="62" fillId="0" borderId="0" xfId="0" applyNumberFormat="1" applyFont="1" applyAlignment="1" applyProtection="1">
      <alignment horizontal="center" vertical="center" wrapText="1"/>
      <protection/>
    </xf>
    <xf numFmtId="0" fontId="62" fillId="0" borderId="0" xfId="0" applyFont="1" applyAlignment="1" applyProtection="1">
      <alignment horizontal="center" vertical="center" wrapText="1"/>
      <protection/>
    </xf>
    <xf numFmtId="0" fontId="63" fillId="0" borderId="0" xfId="0" applyFont="1" applyFill="1" applyAlignment="1" applyProtection="1">
      <alignment horizontal="center" vertical="center" wrapText="1"/>
      <protection/>
    </xf>
    <xf numFmtId="0" fontId="63" fillId="0" borderId="0" xfId="0" applyFont="1" applyFill="1" applyBorder="1" applyAlignment="1" applyProtection="1">
      <alignment horizontal="center" vertical="center" wrapText="1"/>
      <protection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9" xfId="0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9" fillId="0" borderId="17" xfId="0" applyFont="1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9" fillId="0" borderId="11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86" fontId="11" fillId="0" borderId="20" xfId="0" applyNumberFormat="1" applyFont="1" applyBorder="1" applyAlignment="1">
      <alignment horizontal="center" vertical="center"/>
    </xf>
    <xf numFmtId="186" fontId="0" fillId="0" borderId="21" xfId="0" applyNumberFormat="1" applyBorder="1" applyAlignment="1">
      <alignment horizontal="center" vertical="center"/>
    </xf>
    <xf numFmtId="186" fontId="0" fillId="0" borderId="22" xfId="0" applyNumberFormat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177" fontId="2" fillId="0" borderId="20" xfId="0" applyNumberFormat="1" applyFont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5" fillId="34" borderId="0" xfId="0" applyFont="1" applyFill="1" applyAlignment="1" applyProtection="1">
      <alignment horizontal="center" vertical="center" wrapText="1"/>
      <protection/>
    </xf>
    <xf numFmtId="0" fontId="16" fillId="34" borderId="0" xfId="0" applyFont="1" applyFill="1" applyAlignment="1" applyProtection="1">
      <alignment horizontal="center" vertical="center" wrapText="1"/>
      <protection/>
    </xf>
    <xf numFmtId="178" fontId="14" fillId="0" borderId="0" xfId="0" applyNumberFormat="1" applyFont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 vertical="center" wrapText="1"/>
      <protection/>
    </xf>
    <xf numFmtId="0" fontId="20" fillId="34" borderId="0" xfId="0" applyFont="1" applyFill="1" applyAlignment="1" applyProtection="1">
      <alignment horizontal="center" vertical="center" wrapText="1"/>
      <protection locked="0"/>
    </xf>
    <xf numFmtId="0" fontId="21" fillId="38" borderId="0" xfId="0" applyFont="1" applyFill="1" applyAlignment="1" applyProtection="1">
      <alignment horizontal="center" vertical="center" wrapText="1"/>
      <protection locked="0"/>
    </xf>
    <xf numFmtId="0" fontId="22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zoomScale="85" zoomScaleNormal="85" zoomScalePageLayoutView="0" workbookViewId="0" topLeftCell="A4">
      <selection activeCell="B5" sqref="B5"/>
    </sheetView>
  </sheetViews>
  <sheetFormatPr defaultColWidth="9.140625" defaultRowHeight="14.25" customHeight="1"/>
  <cols>
    <col min="1" max="1" width="10.7109375" style="0" customWidth="1"/>
    <col min="2" max="2" width="21.140625" style="0" customWidth="1"/>
    <col min="3" max="3" width="12.57421875" style="0" customWidth="1"/>
    <col min="4" max="4" width="15.140625" style="0" customWidth="1"/>
    <col min="5" max="5" width="37.421875" style="0" customWidth="1"/>
  </cols>
  <sheetData>
    <row r="1" spans="1:5" ht="27.75" customHeight="1">
      <c r="A1" s="1"/>
      <c r="B1" s="1"/>
      <c r="C1" s="1"/>
      <c r="D1" s="1"/>
      <c r="E1" s="1"/>
    </row>
    <row r="2" spans="1:5" ht="14.25">
      <c r="A2" s="1"/>
      <c r="B2" s="80" t="s">
        <v>140</v>
      </c>
      <c r="C2" s="81"/>
      <c r="D2" s="81"/>
      <c r="E2" s="26" t="s">
        <v>79</v>
      </c>
    </row>
    <row r="3" spans="1:5" ht="13.5">
      <c r="A3" s="1"/>
      <c r="B3" s="81"/>
      <c r="C3" s="81"/>
      <c r="D3" s="81"/>
      <c r="E3" s="1"/>
    </row>
    <row r="4" spans="1:5" ht="16.5" customHeight="1">
      <c r="A4" s="1"/>
      <c r="B4" s="82"/>
      <c r="C4" s="82"/>
      <c r="D4" s="82"/>
      <c r="E4" s="1"/>
    </row>
    <row r="5" spans="1:5" ht="24.75" customHeight="1">
      <c r="A5" s="7" t="s">
        <v>42</v>
      </c>
      <c r="B5" s="11" t="s">
        <v>165</v>
      </c>
      <c r="C5" s="7" t="s">
        <v>43</v>
      </c>
      <c r="D5" s="11" t="s">
        <v>166</v>
      </c>
      <c r="E5" s="44" t="s">
        <v>161</v>
      </c>
    </row>
    <row r="6" spans="1:5" ht="30" customHeight="1">
      <c r="A6" s="7" t="s">
        <v>44</v>
      </c>
      <c r="B6" s="9" t="s">
        <v>167</v>
      </c>
      <c r="C6" s="7" t="s">
        <v>45</v>
      </c>
      <c r="D6" s="9" t="s">
        <v>168</v>
      </c>
      <c r="E6" s="55"/>
    </row>
    <row r="7" spans="1:5" ht="33" customHeight="1">
      <c r="A7" s="7" t="s">
        <v>147</v>
      </c>
      <c r="B7" s="9" t="s">
        <v>169</v>
      </c>
      <c r="C7" s="7" t="s">
        <v>47</v>
      </c>
      <c r="D7" s="9">
        <v>15846639590</v>
      </c>
      <c r="E7" s="38"/>
    </row>
    <row r="8" spans="1:5" ht="4.5" customHeight="1">
      <c r="A8" s="51"/>
      <c r="B8" s="52"/>
      <c r="C8" s="52"/>
      <c r="D8" s="53"/>
      <c r="E8" s="53"/>
    </row>
    <row r="9" spans="1:5" ht="24.75" customHeight="1">
      <c r="A9" s="44" t="s">
        <v>155</v>
      </c>
      <c r="B9" s="45"/>
      <c r="C9" s="44" t="s">
        <v>157</v>
      </c>
      <c r="D9" s="46"/>
      <c r="E9" s="44" t="s">
        <v>160</v>
      </c>
    </row>
    <row r="10" spans="1:5" ht="24.75" customHeight="1">
      <c r="A10" s="44" t="s">
        <v>154</v>
      </c>
      <c r="B10" s="45"/>
      <c r="C10" s="44" t="s">
        <v>148</v>
      </c>
      <c r="D10" s="47"/>
      <c r="E10" s="88"/>
    </row>
    <row r="11" spans="1:6" ht="24.75" customHeight="1">
      <c r="A11" s="44" t="s">
        <v>149</v>
      </c>
      <c r="B11" s="44" t="s">
        <v>150</v>
      </c>
      <c r="C11" s="44" t="s">
        <v>151</v>
      </c>
      <c r="D11" s="44" t="s">
        <v>152</v>
      </c>
      <c r="E11" s="89"/>
      <c r="F11" s="35"/>
    </row>
    <row r="12" spans="1:6" ht="25.5" customHeight="1">
      <c r="A12" s="47" t="s">
        <v>171</v>
      </c>
      <c r="B12" s="45" t="s">
        <v>170</v>
      </c>
      <c r="C12" s="47">
        <v>2000</v>
      </c>
      <c r="D12" s="48" t="s">
        <v>153</v>
      </c>
      <c r="E12" s="89"/>
      <c r="F12" s="35"/>
    </row>
    <row r="13" spans="1:5" ht="25.5" customHeight="1">
      <c r="A13" s="47" t="s">
        <v>172</v>
      </c>
      <c r="B13" s="49" t="s">
        <v>173</v>
      </c>
      <c r="C13" s="50">
        <v>2000</v>
      </c>
      <c r="D13" s="48" t="s">
        <v>153</v>
      </c>
      <c r="E13" s="89"/>
    </row>
    <row r="14" spans="1:5" ht="25.5" customHeight="1">
      <c r="A14" s="47" t="s">
        <v>174</v>
      </c>
      <c r="B14" s="48" t="s">
        <v>175</v>
      </c>
      <c r="C14" s="48">
        <v>2000</v>
      </c>
      <c r="D14" s="48" t="s">
        <v>153</v>
      </c>
      <c r="E14" s="89"/>
    </row>
    <row r="15" spans="1:5" ht="25.5" customHeight="1">
      <c r="A15" s="58" t="s">
        <v>176</v>
      </c>
      <c r="B15" s="48" t="s">
        <v>177</v>
      </c>
      <c r="C15" s="48" t="s">
        <v>178</v>
      </c>
      <c r="D15" s="48" t="s">
        <v>153</v>
      </c>
      <c r="E15" s="89"/>
    </row>
    <row r="16" spans="1:5" ht="4.5" customHeight="1">
      <c r="A16" s="51"/>
      <c r="B16" s="52"/>
      <c r="C16" s="52"/>
      <c r="D16" s="53"/>
      <c r="E16" s="53"/>
    </row>
    <row r="17" spans="1:5" ht="24.75" customHeight="1">
      <c r="A17" s="44" t="s">
        <v>141</v>
      </c>
      <c r="B17" s="45" t="s">
        <v>179</v>
      </c>
      <c r="C17" s="44" t="s">
        <v>157</v>
      </c>
      <c r="D17" s="46" t="s">
        <v>180</v>
      </c>
      <c r="E17" s="44" t="s">
        <v>160</v>
      </c>
    </row>
    <row r="18" spans="1:5" ht="24.75" customHeight="1">
      <c r="A18" s="44" t="s">
        <v>162</v>
      </c>
      <c r="B18" s="45"/>
      <c r="C18" s="44" t="s">
        <v>148</v>
      </c>
      <c r="D18" s="47"/>
      <c r="E18" s="83"/>
    </row>
    <row r="19" spans="1:5" ht="24.75" customHeight="1">
      <c r="A19" s="44" t="s">
        <v>149</v>
      </c>
      <c r="B19" s="44" t="s">
        <v>150</v>
      </c>
      <c r="C19" s="44" t="s">
        <v>151</v>
      </c>
      <c r="D19" s="44" t="s">
        <v>152</v>
      </c>
      <c r="E19" s="84"/>
    </row>
    <row r="20" spans="1:5" ht="24.75" customHeight="1">
      <c r="A20" s="59" t="s">
        <v>181</v>
      </c>
      <c r="B20" s="45" t="s">
        <v>182</v>
      </c>
      <c r="C20" s="47">
        <v>1000</v>
      </c>
      <c r="D20" s="48" t="s">
        <v>153</v>
      </c>
      <c r="E20" s="84"/>
    </row>
    <row r="21" spans="1:5" ht="24.75" customHeight="1">
      <c r="A21" s="48" t="s">
        <v>183</v>
      </c>
      <c r="B21" s="49" t="s">
        <v>185</v>
      </c>
      <c r="C21" s="50">
        <v>2000</v>
      </c>
      <c r="D21" s="48" t="s">
        <v>153</v>
      </c>
      <c r="E21" s="84"/>
    </row>
    <row r="22" spans="1:5" ht="24.75" customHeight="1">
      <c r="A22" s="48"/>
      <c r="B22" s="49"/>
      <c r="C22" s="50"/>
      <c r="D22" s="48"/>
      <c r="E22" s="84"/>
    </row>
    <row r="23" spans="1:5" ht="24.75" customHeight="1">
      <c r="A23" s="54"/>
      <c r="B23" s="54"/>
      <c r="C23" s="54"/>
      <c r="D23" s="54"/>
      <c r="E23" s="84"/>
    </row>
    <row r="24" spans="1:5" ht="4.5" customHeight="1">
      <c r="A24" s="51"/>
      <c r="B24" s="52"/>
      <c r="C24" s="52"/>
      <c r="D24" s="53"/>
      <c r="E24" s="53"/>
    </row>
    <row r="25" spans="1:5" ht="24.75" customHeight="1">
      <c r="A25" s="44" t="s">
        <v>156</v>
      </c>
      <c r="B25" s="45" t="s">
        <v>179</v>
      </c>
      <c r="C25" s="44" t="s">
        <v>157</v>
      </c>
      <c r="D25" s="46"/>
      <c r="E25" s="44" t="s">
        <v>160</v>
      </c>
    </row>
    <row r="26" spans="1:5" ht="24.75" customHeight="1">
      <c r="A26" s="44" t="s">
        <v>158</v>
      </c>
      <c r="B26" s="45"/>
      <c r="C26" s="44" t="s">
        <v>148</v>
      </c>
      <c r="D26" s="47"/>
      <c r="E26" s="83"/>
    </row>
    <row r="27" spans="1:5" ht="24.75" customHeight="1">
      <c r="A27" s="44" t="s">
        <v>149</v>
      </c>
      <c r="B27" s="44" t="s">
        <v>150</v>
      </c>
      <c r="C27" s="44" t="s">
        <v>151</v>
      </c>
      <c r="D27" s="44" t="s">
        <v>152</v>
      </c>
      <c r="E27" s="84"/>
    </row>
    <row r="28" spans="1:5" ht="24.75" customHeight="1">
      <c r="A28" s="47" t="s">
        <v>159</v>
      </c>
      <c r="B28" s="45" t="s">
        <v>184</v>
      </c>
      <c r="C28" s="47">
        <v>1000</v>
      </c>
      <c r="D28" s="48" t="s">
        <v>153</v>
      </c>
      <c r="E28" s="84"/>
    </row>
    <row r="29" spans="1:5" ht="24.75" customHeight="1">
      <c r="A29" s="48"/>
      <c r="B29" s="49"/>
      <c r="C29" s="50"/>
      <c r="D29" s="48"/>
      <c r="E29" s="84"/>
    </row>
    <row r="30" spans="1:5" ht="24.75" customHeight="1">
      <c r="A30" s="48"/>
      <c r="B30" s="49"/>
      <c r="C30" s="50"/>
      <c r="D30" s="48"/>
      <c r="E30" s="84"/>
    </row>
    <row r="31" spans="1:5" ht="24.75" customHeight="1">
      <c r="A31" s="54"/>
      <c r="B31" s="54"/>
      <c r="C31" s="54"/>
      <c r="D31" s="54"/>
      <c r="E31" s="85"/>
    </row>
    <row r="32" spans="1:5" ht="24.75" customHeight="1">
      <c r="A32" s="39" t="s">
        <v>144</v>
      </c>
      <c r="B32" s="7" t="s">
        <v>58</v>
      </c>
      <c r="C32" s="7" t="s">
        <v>1</v>
      </c>
      <c r="D32" s="7" t="s">
        <v>129</v>
      </c>
      <c r="E32" s="7" t="s">
        <v>130</v>
      </c>
    </row>
    <row r="33" spans="1:5" ht="24.75" customHeight="1">
      <c r="A33" s="43"/>
      <c r="B33" s="43">
        <v>1000</v>
      </c>
      <c r="C33" s="43">
        <f>A33*B33</f>
        <v>0</v>
      </c>
      <c r="D33" s="43">
        <v>0</v>
      </c>
      <c r="E33" s="43">
        <f>C33+D33</f>
        <v>0</v>
      </c>
    </row>
    <row r="34" spans="1:5" ht="24.75" customHeight="1">
      <c r="A34" s="7" t="s">
        <v>59</v>
      </c>
      <c r="B34" s="86"/>
      <c r="C34" s="87"/>
      <c r="D34" s="87"/>
      <c r="E34" s="87"/>
    </row>
  </sheetData>
  <sheetProtection/>
  <mergeCells count="5">
    <mergeCell ref="B2:D4"/>
    <mergeCell ref="E18:E23"/>
    <mergeCell ref="E26:E31"/>
    <mergeCell ref="B34:E34"/>
    <mergeCell ref="E10:E15"/>
  </mergeCells>
  <printOptions/>
  <pageMargins left="0.3937007874015748" right="0.1968503937007874" top="0.1968503937007874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zoomScale="90" zoomScaleNormal="90" zoomScalePageLayoutView="0" workbookViewId="0" topLeftCell="A1">
      <selection activeCell="E6" sqref="E6:E16"/>
    </sheetView>
  </sheetViews>
  <sheetFormatPr defaultColWidth="9.140625" defaultRowHeight="14.25" customHeight="1"/>
  <cols>
    <col min="1" max="1" width="9.7109375" style="0" customWidth="1"/>
    <col min="2" max="2" width="19.421875" style="0" customWidth="1"/>
    <col min="3" max="3" width="10.421875" style="0" customWidth="1"/>
    <col min="4" max="4" width="20.421875" style="0" customWidth="1"/>
    <col min="5" max="5" width="38.421875" style="0" customWidth="1"/>
  </cols>
  <sheetData>
    <row r="1" spans="1:5" ht="19.5" customHeight="1">
      <c r="A1" s="1"/>
      <c r="B1" s="1"/>
      <c r="C1" s="1"/>
      <c r="D1" s="1"/>
      <c r="E1" s="1"/>
    </row>
    <row r="2" spans="1:5" ht="14.25">
      <c r="A2" s="1"/>
      <c r="B2" s="80" t="s">
        <v>133</v>
      </c>
      <c r="C2" s="81"/>
      <c r="D2" s="81"/>
      <c r="E2" s="26" t="s">
        <v>79</v>
      </c>
    </row>
    <row r="3" spans="1:5" ht="13.5">
      <c r="A3" s="1"/>
      <c r="B3" s="81"/>
      <c r="C3" s="81"/>
      <c r="D3" s="81"/>
      <c r="E3" s="1"/>
    </row>
    <row r="4" spans="1:5" ht="16.5" customHeight="1">
      <c r="A4" s="1"/>
      <c r="B4" s="82"/>
      <c r="C4" s="82"/>
      <c r="D4" s="82"/>
      <c r="E4" s="1"/>
    </row>
    <row r="5" spans="1:5" ht="24.75" customHeight="1">
      <c r="A5" s="7" t="s">
        <v>42</v>
      </c>
      <c r="B5" s="62" t="s">
        <v>199</v>
      </c>
      <c r="C5" s="7" t="s">
        <v>43</v>
      </c>
      <c r="D5" s="62" t="s">
        <v>193</v>
      </c>
      <c r="E5" s="37" t="s">
        <v>137</v>
      </c>
    </row>
    <row r="6" spans="1:5" ht="24.75" customHeight="1">
      <c r="A6" s="7" t="s">
        <v>44</v>
      </c>
      <c r="B6" s="63" t="s">
        <v>194</v>
      </c>
      <c r="C6" s="7" t="s">
        <v>45</v>
      </c>
      <c r="D6" s="63" t="s">
        <v>195</v>
      </c>
      <c r="E6" s="90"/>
    </row>
    <row r="7" spans="1:5" ht="24.75" customHeight="1">
      <c r="A7" s="7" t="s">
        <v>46</v>
      </c>
      <c r="B7" s="63" t="s">
        <v>197</v>
      </c>
      <c r="C7" s="7" t="s">
        <v>47</v>
      </c>
      <c r="D7" s="63">
        <v>13703634020</v>
      </c>
      <c r="E7" s="91"/>
    </row>
    <row r="8" spans="1:5" ht="24.75" customHeight="1">
      <c r="A8" s="7" t="s">
        <v>48</v>
      </c>
      <c r="B8" s="63" t="s">
        <v>196</v>
      </c>
      <c r="C8" s="39" t="s">
        <v>142</v>
      </c>
      <c r="D8" s="64">
        <v>2.5</v>
      </c>
      <c r="E8" s="91"/>
    </row>
    <row r="9" spans="1:5" ht="24.75" customHeight="1">
      <c r="A9" s="7" t="s">
        <v>134</v>
      </c>
      <c r="B9" s="65" t="s">
        <v>198</v>
      </c>
      <c r="C9" s="37" t="s">
        <v>135</v>
      </c>
      <c r="D9" s="40" t="s">
        <v>186</v>
      </c>
      <c r="E9" s="91"/>
    </row>
    <row r="10" spans="1:6" ht="24.75" customHeight="1">
      <c r="A10" s="37" t="s">
        <v>138</v>
      </c>
      <c r="B10" s="37" t="s">
        <v>136</v>
      </c>
      <c r="C10" s="37" t="s">
        <v>139</v>
      </c>
      <c r="D10" s="40" t="s">
        <v>146</v>
      </c>
      <c r="E10" s="91"/>
      <c r="F10" s="35"/>
    </row>
    <row r="11" spans="1:6" ht="25.5" customHeight="1">
      <c r="A11" s="65" t="s">
        <v>195</v>
      </c>
      <c r="B11" s="66">
        <v>10</v>
      </c>
      <c r="C11" s="34"/>
      <c r="D11" s="34"/>
      <c r="E11" s="91"/>
      <c r="F11" s="35"/>
    </row>
    <row r="12" spans="1:5" ht="25.5" customHeight="1">
      <c r="A12" s="10"/>
      <c r="B12" s="36"/>
      <c r="C12" s="8"/>
      <c r="D12" s="8"/>
      <c r="E12" s="91"/>
    </row>
    <row r="13" spans="1:5" ht="25.5" customHeight="1">
      <c r="A13" s="9"/>
      <c r="B13" s="10"/>
      <c r="C13" s="10"/>
      <c r="D13" s="8"/>
      <c r="E13" s="91"/>
    </row>
    <row r="14" spans="1:5" ht="25.5" customHeight="1">
      <c r="A14" s="8"/>
      <c r="B14" s="10"/>
      <c r="C14" s="10"/>
      <c r="D14" s="8"/>
      <c r="E14" s="91"/>
    </row>
    <row r="15" spans="1:5" ht="25.5" customHeight="1">
      <c r="A15" s="8"/>
      <c r="B15" s="8"/>
      <c r="C15" s="8"/>
      <c r="D15" s="8"/>
      <c r="E15" s="91"/>
    </row>
    <row r="16" spans="1:6" ht="24.75" customHeight="1">
      <c r="A16" s="39" t="s">
        <v>143</v>
      </c>
      <c r="B16" s="67">
        <f>B11*D8</f>
        <v>25</v>
      </c>
      <c r="C16" s="39" t="s">
        <v>145</v>
      </c>
      <c r="D16" s="68">
        <v>2</v>
      </c>
      <c r="E16" s="85"/>
      <c r="F16" s="61"/>
    </row>
  </sheetData>
  <sheetProtection/>
  <mergeCells count="2">
    <mergeCell ref="B2:D4"/>
    <mergeCell ref="E6:E16"/>
  </mergeCells>
  <printOptions/>
  <pageMargins left="0.3937007874015748" right="0.1968503937007874" top="0.1968503937007874" bottom="0.3937007874015748" header="0.1968503937007874" footer="0.1968503937007874"/>
  <pageSetup horizontalDpi="600" verticalDpi="600" orientation="landscape" paperSize="1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zoomScale="85" zoomScaleNormal="85" zoomScalePageLayoutView="0" workbookViewId="0" topLeftCell="A4">
      <selection activeCell="D17" sqref="D17"/>
    </sheetView>
  </sheetViews>
  <sheetFormatPr defaultColWidth="9.140625" defaultRowHeight="14.25" customHeight="1"/>
  <cols>
    <col min="1" max="1" width="15.57421875" style="0" customWidth="1"/>
    <col min="2" max="2" width="12.57421875" style="0" customWidth="1"/>
    <col min="3" max="3" width="9.421875" style="0" customWidth="1"/>
    <col min="4" max="4" width="13.8515625" style="0" customWidth="1"/>
    <col min="5" max="5" width="12.421875" style="0" customWidth="1"/>
    <col min="6" max="6" width="12.7109375" style="0" customWidth="1"/>
    <col min="7" max="7" width="13.7109375" style="0" customWidth="1"/>
  </cols>
  <sheetData>
    <row r="1" spans="1:7" ht="13.5">
      <c r="A1" s="1"/>
      <c r="B1" s="1"/>
      <c r="C1" s="1"/>
      <c r="D1" s="1"/>
      <c r="E1" s="1"/>
      <c r="F1" s="1"/>
      <c r="G1" s="1"/>
    </row>
    <row r="2" spans="1:6" ht="13.5">
      <c r="A2" s="1"/>
      <c r="B2" s="80" t="s">
        <v>192</v>
      </c>
      <c r="C2" s="81"/>
      <c r="D2" s="81"/>
      <c r="E2" s="81"/>
      <c r="F2" s="81"/>
    </row>
    <row r="3" spans="1:7" ht="13.5">
      <c r="A3" s="1"/>
      <c r="B3" s="81"/>
      <c r="C3" s="81"/>
      <c r="D3" s="81"/>
      <c r="E3" s="81"/>
      <c r="F3" s="81"/>
      <c r="G3" s="1"/>
    </row>
    <row r="4" spans="1:7" ht="22.5" customHeight="1">
      <c r="A4" s="1"/>
      <c r="B4" s="82"/>
      <c r="C4" s="82"/>
      <c r="D4" s="82"/>
      <c r="E4" s="82"/>
      <c r="F4" s="82"/>
      <c r="G4" s="1"/>
    </row>
    <row r="5" spans="1:7" ht="24.75" customHeight="1">
      <c r="A5" s="7" t="s">
        <v>42</v>
      </c>
      <c r="B5" s="11" t="s">
        <v>203</v>
      </c>
      <c r="C5" s="7" t="s">
        <v>43</v>
      </c>
      <c r="D5" s="11" t="s">
        <v>204</v>
      </c>
      <c r="E5" s="117" t="s">
        <v>79</v>
      </c>
      <c r="F5" s="93"/>
      <c r="G5" s="94"/>
    </row>
    <row r="6" spans="1:7" ht="24.75" customHeight="1">
      <c r="A6" s="7" t="s">
        <v>44</v>
      </c>
      <c r="B6" s="9" t="s">
        <v>205</v>
      </c>
      <c r="C6" s="7" t="s">
        <v>45</v>
      </c>
      <c r="D6" s="9" t="s">
        <v>205</v>
      </c>
      <c r="E6" s="118"/>
      <c r="F6" s="93"/>
      <c r="G6" s="94"/>
    </row>
    <row r="7" spans="1:7" ht="24.75" customHeight="1">
      <c r="A7" s="7" t="s">
        <v>46</v>
      </c>
      <c r="B7" s="9" t="s">
        <v>206</v>
      </c>
      <c r="C7" s="7" t="s">
        <v>47</v>
      </c>
      <c r="D7" s="9"/>
      <c r="E7" s="119" t="s">
        <v>34</v>
      </c>
      <c r="F7" s="93"/>
      <c r="G7" s="94"/>
    </row>
    <row r="8" spans="1:7" ht="24.75" customHeight="1">
      <c r="A8" s="7" t="s">
        <v>48</v>
      </c>
      <c r="B8" s="9" t="s">
        <v>128</v>
      </c>
      <c r="C8" s="7" t="s">
        <v>49</v>
      </c>
      <c r="D8" s="1" t="e">
        <f>VLOOKUP(B8,'纸张价格'!D2:E260,2,TRUE)</f>
        <v>#N/A</v>
      </c>
      <c r="E8" s="120">
        <f>VLOOKUP(D17,'票据尺寸'!A2:B107,2,TRUE)</f>
        <v>60</v>
      </c>
      <c r="F8" s="93"/>
      <c r="G8" s="94"/>
    </row>
    <row r="9" spans="1:7" ht="24.75" customHeight="1">
      <c r="A9" s="7" t="s">
        <v>50</v>
      </c>
      <c r="B9" s="60" t="s">
        <v>191</v>
      </c>
      <c r="C9" s="60" t="s">
        <v>187</v>
      </c>
      <c r="D9" s="7" t="s">
        <v>18</v>
      </c>
      <c r="E9" s="60" t="s">
        <v>190</v>
      </c>
      <c r="F9" s="60" t="s">
        <v>189</v>
      </c>
      <c r="G9" s="60" t="s">
        <v>188</v>
      </c>
    </row>
    <row r="10" spans="1:8" ht="24.75" customHeight="1">
      <c r="A10" s="34" t="s">
        <v>201</v>
      </c>
      <c r="B10" s="69">
        <f>B31*E17/E8+5</f>
        <v>1105</v>
      </c>
      <c r="C10" s="34">
        <v>5</v>
      </c>
      <c r="D10" s="34" t="str">
        <f>VLOOKUP(D17,'票据尺寸'!A2:D107,4,TRUE)</f>
        <v>393*363mm</v>
      </c>
      <c r="E10" s="34">
        <f>B10*G10</f>
        <v>6630</v>
      </c>
      <c r="F10" s="34">
        <f>(B10-5)*G10</f>
        <v>6600</v>
      </c>
      <c r="G10" s="34">
        <f>VLOOKUP(D17,'票据尺寸'!A:C,3,TRUE)</f>
        <v>6</v>
      </c>
      <c r="H10" s="35"/>
    </row>
    <row r="11" spans="1:8" ht="24.75" customHeight="1">
      <c r="A11" s="10" t="s">
        <v>207</v>
      </c>
      <c r="B11" s="69">
        <f>IF(C17&gt;=2,B10,"")</f>
        <v>1105</v>
      </c>
      <c r="C11" s="34">
        <f>IF(C17&gt;=2,C10,"")</f>
        <v>5</v>
      </c>
      <c r="D11" s="34" t="str">
        <f>IF(C17&gt;=2,D10,"")</f>
        <v>393*363mm</v>
      </c>
      <c r="E11" s="34">
        <f>B11*G11</f>
        <v>6630</v>
      </c>
      <c r="F11" s="34">
        <f>(B11-5)*G11</f>
        <v>6600</v>
      </c>
      <c r="G11" s="34">
        <f>IF(C17&gt;=2,G10,"")</f>
        <v>6</v>
      </c>
      <c r="H11" s="35"/>
    </row>
    <row r="12" spans="1:7" ht="24.75" customHeight="1">
      <c r="A12" s="10" t="s">
        <v>208</v>
      </c>
      <c r="B12" s="70">
        <f>IF(C17&gt;=3,B10,"")</f>
        <v>1105</v>
      </c>
      <c r="C12" s="56">
        <f>IF(C17&gt;=3,C10,"")</f>
        <v>5</v>
      </c>
      <c r="D12" s="56" t="str">
        <f>IF(C17&gt;=3,D10,"")</f>
        <v>393*363mm</v>
      </c>
      <c r="E12" s="72">
        <f>B12*G12</f>
        <v>6630</v>
      </c>
      <c r="F12" s="72">
        <f>(B12-5)*G12</f>
        <v>6600</v>
      </c>
      <c r="G12" s="72">
        <f>IF(C17&gt;=3,G10,"")</f>
        <v>6</v>
      </c>
    </row>
    <row r="13" spans="1:7" ht="24.75" customHeight="1">
      <c r="A13" s="10"/>
      <c r="B13" s="41">
        <f>IF(C17&gt;=4,B10,"")</f>
      </c>
      <c r="C13" s="41">
        <f>IF(C17&gt;=4,C10,"")</f>
      </c>
      <c r="D13" s="43">
        <f>IF(C17&gt;=4,D10,"")</f>
      </c>
      <c r="E13" s="71" t="e">
        <f>B13*G13</f>
        <v>#VALUE!</v>
      </c>
      <c r="F13" s="71" t="e">
        <f>(B13-5)*G13</f>
        <v>#VALUE!</v>
      </c>
      <c r="G13" s="41">
        <f>IF(C17&gt;=4,G10,"")</f>
      </c>
    </row>
    <row r="14" spans="1:7" ht="24.75" customHeight="1">
      <c r="A14" s="56"/>
      <c r="B14" s="41">
        <f>IF(C17&gt;=5,B10,"")</f>
      </c>
      <c r="C14" s="41">
        <f>IF(C17&gt;=5,C10,"")</f>
      </c>
      <c r="D14" s="43">
        <f>IF(C17&gt;=5,D10,"")</f>
      </c>
      <c r="E14" s="43"/>
      <c r="F14" s="43"/>
      <c r="G14" s="41">
        <f>IF(C17&gt;=5,G10,"")</f>
      </c>
    </row>
    <row r="15" spans="1:7" ht="24.75" customHeight="1">
      <c r="A15" s="43"/>
      <c r="B15" s="43"/>
      <c r="C15" s="43"/>
      <c r="D15" s="43"/>
      <c r="E15" s="43"/>
      <c r="F15" s="43"/>
      <c r="G15" s="43"/>
    </row>
    <row r="16" spans="1:7" ht="24.75" customHeight="1">
      <c r="A16" s="39" t="s">
        <v>51</v>
      </c>
      <c r="B16" s="39" t="s">
        <v>52</v>
      </c>
      <c r="C16" s="39" t="s">
        <v>0</v>
      </c>
      <c r="D16" s="39" t="s">
        <v>3</v>
      </c>
      <c r="E16" s="107" t="s">
        <v>4</v>
      </c>
      <c r="F16" s="108"/>
      <c r="G16" s="94"/>
    </row>
    <row r="17" spans="1:7" ht="24.75" customHeight="1">
      <c r="A17" s="56" t="s">
        <v>164</v>
      </c>
      <c r="B17" s="56" t="s">
        <v>163</v>
      </c>
      <c r="C17" s="56">
        <v>3</v>
      </c>
      <c r="D17" s="34" t="s">
        <v>202</v>
      </c>
      <c r="E17" s="92">
        <v>33</v>
      </c>
      <c r="F17" s="102"/>
      <c r="G17" s="103"/>
    </row>
    <row r="18" spans="1:7" ht="24.75" customHeight="1">
      <c r="A18" s="43"/>
      <c r="B18" s="43"/>
      <c r="C18" s="39" t="s">
        <v>53</v>
      </c>
      <c r="D18" s="39" t="s">
        <v>37</v>
      </c>
      <c r="E18" s="107" t="s">
        <v>54</v>
      </c>
      <c r="F18" s="108"/>
      <c r="G18" s="94"/>
    </row>
    <row r="19" spans="1:7" ht="24.75" customHeight="1">
      <c r="A19" s="43"/>
      <c r="B19" s="43"/>
      <c r="C19" s="56">
        <v>1</v>
      </c>
      <c r="D19" s="36">
        <f>G6/1000</f>
        <v>0</v>
      </c>
      <c r="E19" s="104" t="s">
        <v>211</v>
      </c>
      <c r="F19" s="105"/>
      <c r="G19" s="106"/>
    </row>
    <row r="20" spans="1:7" ht="24.75" customHeight="1">
      <c r="A20" s="43"/>
      <c r="B20" s="43"/>
      <c r="C20" s="60" t="s">
        <v>106</v>
      </c>
      <c r="D20" s="57">
        <v>10</v>
      </c>
      <c r="E20" s="109"/>
      <c r="F20" s="93"/>
      <c r="G20" s="94"/>
    </row>
    <row r="21" spans="1:7" ht="24.75" customHeight="1">
      <c r="A21" s="43"/>
      <c r="B21" s="42"/>
      <c r="C21" s="43"/>
      <c r="D21" s="42"/>
      <c r="E21" s="110"/>
      <c r="F21" s="93"/>
      <c r="G21" s="94"/>
    </row>
    <row r="22" spans="1:7" ht="24.75" customHeight="1">
      <c r="A22" s="7" t="s">
        <v>55</v>
      </c>
      <c r="B22" s="114" t="s">
        <v>209</v>
      </c>
      <c r="C22" s="115"/>
      <c r="D22" s="115"/>
      <c r="E22" s="115"/>
      <c r="F22" s="115"/>
      <c r="G22" s="115"/>
    </row>
    <row r="23" spans="1:7" ht="24.75" customHeight="1">
      <c r="A23" s="116" t="s">
        <v>56</v>
      </c>
      <c r="B23" s="116"/>
      <c r="C23" s="116" t="s">
        <v>57</v>
      </c>
      <c r="D23" s="116"/>
      <c r="E23" s="116"/>
      <c r="F23" s="116"/>
      <c r="G23" s="116"/>
    </row>
    <row r="24" spans="1:7" ht="24.75" customHeight="1">
      <c r="A24" s="12"/>
      <c r="B24" s="13"/>
      <c r="C24" s="95" t="s">
        <v>212</v>
      </c>
      <c r="D24" s="96"/>
      <c r="E24" s="96"/>
      <c r="F24" s="96"/>
      <c r="G24" s="97"/>
    </row>
    <row r="25" spans="1:7" ht="24.75" customHeight="1">
      <c r="A25" s="24">
        <f>IF(G19="","",G19+E17*B31/(E8/G10))</f>
      </c>
      <c r="B25" s="25">
        <f>IF(E8/G10&gt;=2,IF(A25="","",A25+E17*B31/(E8/G10)),"")</f>
      </c>
      <c r="C25" s="98"/>
      <c r="D25" s="96"/>
      <c r="E25" s="96"/>
      <c r="F25" s="96"/>
      <c r="G25" s="97"/>
    </row>
    <row r="26" spans="1:7" ht="24.75" customHeight="1">
      <c r="A26" s="24">
        <f>IF(E8/G10&gt;=3,IF(B25="","",B25+E17*B31/(E8/G10)),"")</f>
      </c>
      <c r="B26" s="25">
        <f>IF(E8/G10&gt;=4,IF(A26="","",A26+E17*B31/(E8/G10)),"")</f>
      </c>
      <c r="C26" s="98"/>
      <c r="D26" s="96"/>
      <c r="E26" s="96"/>
      <c r="F26" s="96"/>
      <c r="G26" s="97"/>
    </row>
    <row r="27" spans="1:7" ht="24.75" customHeight="1">
      <c r="A27" s="14"/>
      <c r="B27" s="15"/>
      <c r="C27" s="98"/>
      <c r="D27" s="96"/>
      <c r="E27" s="96"/>
      <c r="F27" s="96"/>
      <c r="G27" s="97"/>
    </row>
    <row r="28" spans="1:7" ht="24.75" customHeight="1">
      <c r="A28" s="14">
        <f>IF(E8/G10&gt;=7,IF(B27="","",B27+E17*B31/(E8/G10)),"")</f>
      </c>
      <c r="B28" s="15">
        <f>IF(E8/G10&gt;=8,IF(A28="","",A28+E17*B31/(E8/G10)),"")</f>
      </c>
      <c r="C28" s="98"/>
      <c r="D28" s="96"/>
      <c r="E28" s="96"/>
      <c r="F28" s="96"/>
      <c r="G28" s="97"/>
    </row>
    <row r="29" spans="1:7" ht="24.75" customHeight="1">
      <c r="A29" s="16"/>
      <c r="B29" s="17"/>
      <c r="C29" s="99"/>
      <c r="D29" s="100"/>
      <c r="E29" s="100"/>
      <c r="F29" s="100"/>
      <c r="G29" s="101"/>
    </row>
    <row r="30" spans="1:7" ht="24.75" customHeight="1">
      <c r="A30" s="39" t="s">
        <v>144</v>
      </c>
      <c r="B30" s="7" t="s">
        <v>200</v>
      </c>
      <c r="C30" s="7" t="s">
        <v>1</v>
      </c>
      <c r="D30" s="7" t="s">
        <v>129</v>
      </c>
      <c r="E30" s="111" t="s">
        <v>130</v>
      </c>
      <c r="F30" s="112"/>
      <c r="G30" s="94"/>
    </row>
    <row r="31" spans="1:7" ht="24.75" customHeight="1">
      <c r="A31" s="43">
        <v>1.4</v>
      </c>
      <c r="B31" s="43">
        <v>2000</v>
      </c>
      <c r="C31" s="56">
        <f>A31*B31</f>
        <v>2800</v>
      </c>
      <c r="D31" s="56">
        <v>0</v>
      </c>
      <c r="E31" s="92">
        <f>C31+D31</f>
        <v>2800</v>
      </c>
      <c r="F31" s="93"/>
      <c r="G31" s="94"/>
    </row>
    <row r="32" spans="1:7" ht="24.75" customHeight="1">
      <c r="A32" s="7" t="s">
        <v>59</v>
      </c>
      <c r="B32" s="113" t="s">
        <v>210</v>
      </c>
      <c r="C32" s="87"/>
      <c r="D32" s="87"/>
      <c r="E32" s="87"/>
      <c r="F32" s="87"/>
      <c r="G32" s="87"/>
    </row>
  </sheetData>
  <sheetProtection/>
  <mergeCells count="18">
    <mergeCell ref="B32:G32"/>
    <mergeCell ref="B22:G22"/>
    <mergeCell ref="A23:B23"/>
    <mergeCell ref="C23:G23"/>
    <mergeCell ref="B2:F4"/>
    <mergeCell ref="E5:G5"/>
    <mergeCell ref="E6:G6"/>
    <mergeCell ref="E7:G7"/>
    <mergeCell ref="E8:G8"/>
    <mergeCell ref="E16:G16"/>
    <mergeCell ref="E31:G31"/>
    <mergeCell ref="C24:G29"/>
    <mergeCell ref="E17:G17"/>
    <mergeCell ref="E19:G19"/>
    <mergeCell ref="E18:G18"/>
    <mergeCell ref="E20:G20"/>
    <mergeCell ref="E21:G21"/>
    <mergeCell ref="E30:G30"/>
  </mergeCells>
  <dataValidations count="5">
    <dataValidation type="list" allowBlank="1" showInputMessage="1" showErrorMessage="1" sqref="E17">
      <formula1>"1,5,6,33,30,50,20,25,100"</formula1>
    </dataValidation>
    <dataValidation type="list" allowBlank="1" showInputMessage="1" showErrorMessage="1" sqref="C17">
      <formula1>"1,2,3,4,5,6"</formula1>
    </dataValidation>
    <dataValidation type="list" allowBlank="1" showInputMessage="1" showErrorMessage="1" sqref="D17">
      <formula1>"175*258mm,265*385mm,105*185mm,125*177mm,105*145mm,126*259mm,90*210mm,90*190mm,105*140mm,83*175mm,85*175mm,76*176mm,95*177mm,130*185mm,185*260mm,100*190mm,130*190mm,85*190mm,110*208mm,140*210mm,145*210mm,210*285mm,285*420mm,90*130mm,125*208mm,192*265mm"</formula1>
    </dataValidation>
    <dataValidation type="list" allowBlank="1" showInputMessage="1" showErrorMessage="1" sqref="B8">
      <formula1>"金太阳,世琪纸业,大丰纸业"</formula1>
    </dataValidation>
    <dataValidation type="list" allowBlank="1" showInputMessage="1" showErrorMessage="1" sqref="C19">
      <formula1>"1,2,3,4,5,6,41"</formula1>
    </dataValidation>
  </dataValidations>
  <printOptions/>
  <pageMargins left="0.5511811023622047" right="0.7480314960629921" top="0.1968503937007874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="115" zoomScaleNormal="115" zoomScalePageLayoutView="0" workbookViewId="0" topLeftCell="A1">
      <selection activeCell="G3" sqref="G3"/>
    </sheetView>
  </sheetViews>
  <sheetFormatPr defaultColWidth="9.140625" defaultRowHeight="14.25" customHeight="1"/>
  <cols>
    <col min="1" max="1" width="9.00390625" style="2" customWidth="1"/>
    <col min="2" max="2" width="15.28125" style="2" customWidth="1"/>
    <col min="3" max="3" width="11.57421875" style="2" customWidth="1"/>
    <col min="4" max="4" width="15.421875" style="2" customWidth="1"/>
    <col min="5" max="5" width="15.140625" style="2" customWidth="1"/>
    <col min="6" max="6" width="13.140625" style="2" customWidth="1"/>
    <col min="7" max="7" width="11.57421875" style="2" customWidth="1"/>
    <col min="8" max="16384" width="9.00390625" style="2" customWidth="1"/>
  </cols>
  <sheetData>
    <row r="1" spans="1:9" ht="33" customHeight="1">
      <c r="A1" s="18"/>
      <c r="B1" s="18"/>
      <c r="C1" s="18"/>
      <c r="D1" s="125" t="s">
        <v>38</v>
      </c>
      <c r="E1" s="126"/>
      <c r="F1" s="18"/>
      <c r="G1" s="18"/>
      <c r="H1" s="18"/>
      <c r="I1" s="18"/>
    </row>
    <row r="2" spans="1:9" s="4" customFormat="1" ht="17.25" customHeight="1">
      <c r="A2" s="19"/>
      <c r="B2" s="3" t="s">
        <v>3</v>
      </c>
      <c r="C2" s="3" t="s">
        <v>0</v>
      </c>
      <c r="D2" s="3" t="s">
        <v>2</v>
      </c>
      <c r="E2" s="3" t="s">
        <v>4</v>
      </c>
      <c r="F2" s="3" t="s">
        <v>5</v>
      </c>
      <c r="G2" s="3" t="s">
        <v>6</v>
      </c>
      <c r="H2" s="3" t="s">
        <v>21</v>
      </c>
      <c r="I2" s="19"/>
    </row>
    <row r="3" spans="1:9" ht="14.25">
      <c r="A3" s="18"/>
      <c r="B3" s="5" t="s">
        <v>217</v>
      </c>
      <c r="C3" s="5">
        <v>2</v>
      </c>
      <c r="D3" s="5">
        <v>500</v>
      </c>
      <c r="E3" s="5">
        <v>50</v>
      </c>
      <c r="F3" s="5" t="s">
        <v>215</v>
      </c>
      <c r="G3" s="6" t="s">
        <v>11</v>
      </c>
      <c r="H3" s="5" t="s">
        <v>120</v>
      </c>
      <c r="I3" s="18"/>
    </row>
    <row r="4" spans="1:9" s="22" customFormat="1" ht="14.25">
      <c r="A4" s="20"/>
      <c r="B4" s="77" t="s">
        <v>25</v>
      </c>
      <c r="C4" s="74">
        <f>IF(C3&lt;=2,(C3*E3*D3/D5+H7)/500*E5,(2*E3*D3/D5+H7)/500*E5)</f>
        <v>493</v>
      </c>
      <c r="D4" s="76" t="s">
        <v>34</v>
      </c>
      <c r="E4" s="76" t="s">
        <v>35</v>
      </c>
      <c r="F4" s="76" t="s">
        <v>36</v>
      </c>
      <c r="G4" s="76" t="s">
        <v>37</v>
      </c>
      <c r="H4" s="76" t="s">
        <v>17</v>
      </c>
      <c r="I4" s="20"/>
    </row>
    <row r="5" spans="1:9" s="22" customFormat="1" ht="14.25">
      <c r="A5" s="20"/>
      <c r="B5" s="77" t="s">
        <v>28</v>
      </c>
      <c r="C5" s="74">
        <f>((C3-2)*E3*D3/D5+(C3-2)*10)/500*F5</f>
        <v>0</v>
      </c>
      <c r="D5" s="75">
        <f>VLOOKUP(B3,'票据尺寸'!A2:D107,2,TRUE)</f>
        <v>30</v>
      </c>
      <c r="E5" s="75">
        <f>VLOOKUP(G3,'纸张价格'!A2:B109,2,FALSE)</f>
        <v>147</v>
      </c>
      <c r="F5" s="75">
        <f>VLOOKUP(G3,'纸张价格'!A2:C109,3,FALSE)</f>
        <v>190</v>
      </c>
      <c r="G5" s="74">
        <f>(C3*D3*E3/(D5/H5))/1000</f>
        <v>17</v>
      </c>
      <c r="H5" s="75">
        <f>VLOOKUP(B3,'票据尺寸'!A2:D107,3,TRUE)</f>
        <v>10</v>
      </c>
      <c r="I5" s="20"/>
    </row>
    <row r="6" spans="1:9" s="22" customFormat="1" ht="14.25">
      <c r="A6" s="20"/>
      <c r="B6" s="77" t="s">
        <v>29</v>
      </c>
      <c r="C6" s="74">
        <f>SUM(C4:C5)</f>
        <v>493</v>
      </c>
      <c r="D6" s="21" t="s">
        <v>1</v>
      </c>
      <c r="E6" s="21" t="s">
        <v>26</v>
      </c>
      <c r="F6" s="76" t="s">
        <v>23</v>
      </c>
      <c r="G6" s="76" t="s">
        <v>22</v>
      </c>
      <c r="H6" s="76" t="s">
        <v>24</v>
      </c>
      <c r="I6" s="20"/>
    </row>
    <row r="7" spans="1:9" s="22" customFormat="1" ht="19.5">
      <c r="A7" s="20"/>
      <c r="B7" s="77" t="s">
        <v>7</v>
      </c>
      <c r="C7" s="75">
        <f>IF(H3="是",15,C3*15)</f>
        <v>15</v>
      </c>
      <c r="D7" s="23">
        <f>SUM(C6:C9)</f>
        <v>958</v>
      </c>
      <c r="E7" s="73">
        <f>D7/D3</f>
        <v>1.92</v>
      </c>
      <c r="F7" s="75">
        <f>IF(F3="打号",50,40)</f>
        <v>40</v>
      </c>
      <c r="G7" s="75">
        <f>IF(F3="打号",20,15)</f>
        <v>15</v>
      </c>
      <c r="H7" s="75">
        <f>IF(H3="是",10,C3*10)</f>
        <v>10</v>
      </c>
      <c r="I7" s="20"/>
    </row>
    <row r="8" spans="1:9" s="22" customFormat="1" ht="17.25" customHeight="1">
      <c r="A8" s="20"/>
      <c r="B8" s="76" t="s">
        <v>8</v>
      </c>
      <c r="C8" s="74">
        <f>IF(H3="是",F7+(G5-1)*G7,F7*C3+(G5-1)*G7)</f>
        <v>280</v>
      </c>
      <c r="D8" s="123" t="s">
        <v>27</v>
      </c>
      <c r="E8" s="124"/>
      <c r="F8" s="124"/>
      <c r="G8" s="124"/>
      <c r="H8" s="124"/>
      <c r="I8" s="20"/>
    </row>
    <row r="9" spans="1:9" s="22" customFormat="1" ht="14.25">
      <c r="A9" s="20"/>
      <c r="B9" s="76" t="s">
        <v>9</v>
      </c>
      <c r="C9" s="74">
        <f>G5/4*40</f>
        <v>170</v>
      </c>
      <c r="D9" s="124"/>
      <c r="E9" s="124"/>
      <c r="F9" s="124"/>
      <c r="G9" s="124"/>
      <c r="H9" s="124"/>
      <c r="I9" s="20"/>
    </row>
    <row r="10" spans="1:9" s="22" customFormat="1" ht="13.5">
      <c r="A10" s="20"/>
      <c r="B10" s="121" t="s">
        <v>30</v>
      </c>
      <c r="C10" s="121"/>
      <c r="D10" s="121" t="s">
        <v>31</v>
      </c>
      <c r="E10" s="121"/>
      <c r="F10" s="121" t="s">
        <v>32</v>
      </c>
      <c r="G10" s="121"/>
      <c r="H10" s="18"/>
      <c r="I10" s="20"/>
    </row>
    <row r="11" spans="1:9" s="22" customFormat="1" ht="13.5">
      <c r="A11" s="20"/>
      <c r="B11" s="121"/>
      <c r="C11" s="121"/>
      <c r="D11" s="121"/>
      <c r="E11" s="121"/>
      <c r="F11" s="121"/>
      <c r="G11" s="121"/>
      <c r="H11" s="18"/>
      <c r="I11" s="20"/>
    </row>
    <row r="12" spans="1:9" s="22" customFormat="1" ht="13.5">
      <c r="A12" s="122" t="s">
        <v>33</v>
      </c>
      <c r="B12" s="122"/>
      <c r="C12" s="122"/>
      <c r="D12" s="122"/>
      <c r="E12" s="122"/>
      <c r="F12" s="122"/>
      <c r="G12" s="122"/>
      <c r="H12" s="122"/>
      <c r="I12" s="122"/>
    </row>
    <row r="13" spans="1:9" s="22" customFormat="1" ht="13.5">
      <c r="A13" s="122"/>
      <c r="B13" s="122"/>
      <c r="C13" s="122"/>
      <c r="D13" s="122"/>
      <c r="E13" s="122"/>
      <c r="F13" s="122"/>
      <c r="G13" s="122"/>
      <c r="H13" s="122"/>
      <c r="I13" s="122"/>
    </row>
  </sheetData>
  <sheetProtection password="A392" sheet="1" selectLockedCells="1"/>
  <mergeCells count="6">
    <mergeCell ref="B10:C11"/>
    <mergeCell ref="A12:I13"/>
    <mergeCell ref="D8:H9"/>
    <mergeCell ref="D1:E1"/>
    <mergeCell ref="D10:E11"/>
    <mergeCell ref="F10:G11"/>
  </mergeCells>
  <dataValidations count="6">
    <dataValidation type="list" allowBlank="1" showInputMessage="1" showErrorMessage="1" sqref="G3">
      <formula1>"52克双胶大,80克双胶正,55克双胶正,55克双胶大,100克双胶大,28克有光,40克有光,55克书写正,60克双胶大,60克双胶正,70克双胶大,70克双胶正,混浆大,混浆正,原浆大,原浆正,再生大,再生正,上混下生正"</formula1>
    </dataValidation>
    <dataValidation type="list" allowBlank="1" showInputMessage="1" showErrorMessage="1" sqref="F3">
      <formula1>"打号,不打号"</formula1>
    </dataValidation>
    <dataValidation type="list" allowBlank="1" showInputMessage="1" showErrorMessage="1" sqref="E3">
      <formula1>"30,33,25,50,100,16,9"</formula1>
    </dataValidation>
    <dataValidation type="list" allowBlank="1" showInputMessage="1" showErrorMessage="1" sqref="C3">
      <formula1>"2,3,4,5,6"</formula1>
    </dataValidation>
    <dataValidation type="list" allowBlank="1" showInputMessage="1" showErrorMessage="1" sqref="B3">
      <formula1>"175*258mm,265*385mm,105*185mm,125*177mm,105*145mm,126*259mm,90*210mm,90*190mm,105*140mm,83*175mm,85*175mm,76*176mm,95*177mm,130*185mm,185*260mm,100*190mm,130*190mm,85*190mm,110*208mm,140*210mm,145*210mm,210*285mm,285*420mm,90*130mm,125*208mm,192*265mm"</formula1>
    </dataValidation>
    <dataValidation type="list" allowBlank="1" showInputMessage="1" showErrorMessage="1" sqref="H3">
      <formula1>"是,否"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A1" sqref="A1:D36"/>
    </sheetView>
  </sheetViews>
  <sheetFormatPr defaultColWidth="9.140625" defaultRowHeight="14.25" customHeight="1"/>
  <cols>
    <col min="1" max="1" width="10.57421875" style="1" customWidth="1"/>
    <col min="2" max="2" width="9.00390625" style="1" customWidth="1"/>
    <col min="3" max="3" width="10.57421875" style="1" customWidth="1"/>
    <col min="4" max="4" width="12.421875" style="1" customWidth="1"/>
    <col min="7" max="16384" width="9.00390625" style="1" customWidth="1"/>
  </cols>
  <sheetData>
    <row r="1" spans="1:4" ht="13.5">
      <c r="A1" s="78" t="s">
        <v>3</v>
      </c>
      <c r="B1" s="78" t="s">
        <v>16</v>
      </c>
      <c r="C1" s="78" t="s">
        <v>17</v>
      </c>
      <c r="D1" s="78" t="s">
        <v>18</v>
      </c>
    </row>
    <row r="2" spans="1:4" ht="13.5">
      <c r="A2" s="78" t="s">
        <v>127</v>
      </c>
      <c r="B2" s="78">
        <v>60</v>
      </c>
      <c r="C2" s="78">
        <v>10</v>
      </c>
      <c r="D2" s="78" t="s">
        <v>20</v>
      </c>
    </row>
    <row r="3" spans="1:4" ht="13.5">
      <c r="A3" s="78" t="s">
        <v>71</v>
      </c>
      <c r="B3" s="78">
        <v>40</v>
      </c>
      <c r="C3" s="78">
        <v>10</v>
      </c>
      <c r="D3" s="78" t="s">
        <v>20</v>
      </c>
    </row>
    <row r="4" spans="1:4" ht="13.5">
      <c r="A4" s="78" t="s">
        <v>97</v>
      </c>
      <c r="B4" s="78">
        <v>64</v>
      </c>
      <c r="C4" s="78">
        <v>8</v>
      </c>
      <c r="D4" s="78" t="s">
        <v>60</v>
      </c>
    </row>
    <row r="5" spans="1:4" ht="13.5">
      <c r="A5" s="78" t="s">
        <v>116</v>
      </c>
      <c r="B5" s="78">
        <v>64</v>
      </c>
      <c r="C5" s="78">
        <v>8</v>
      </c>
      <c r="D5" s="78" t="s">
        <v>117</v>
      </c>
    </row>
    <row r="6" spans="1:4" ht="14.25" customHeight="1">
      <c r="A6" s="78" t="s">
        <v>83</v>
      </c>
      <c r="B6" s="78">
        <v>40</v>
      </c>
      <c r="C6" s="78">
        <v>10</v>
      </c>
      <c r="D6" s="78" t="s">
        <v>20</v>
      </c>
    </row>
    <row r="7" spans="1:4" ht="14.25" customHeight="1">
      <c r="A7" s="78" t="s">
        <v>122</v>
      </c>
      <c r="B7" s="78">
        <v>40</v>
      </c>
      <c r="C7" s="78">
        <v>10</v>
      </c>
      <c r="D7" s="78" t="s">
        <v>64</v>
      </c>
    </row>
    <row r="8" spans="1:4" ht="13.5">
      <c r="A8" s="78" t="s">
        <v>126</v>
      </c>
      <c r="B8" s="78">
        <v>24</v>
      </c>
      <c r="C8" s="78">
        <v>8</v>
      </c>
      <c r="D8" s="78" t="s">
        <v>62</v>
      </c>
    </row>
    <row r="9" spans="1:4" ht="13.5">
      <c r="A9" s="78" t="s">
        <v>81</v>
      </c>
      <c r="B9" s="78">
        <v>36</v>
      </c>
      <c r="C9" s="78">
        <v>6</v>
      </c>
      <c r="D9" s="78" t="s">
        <v>82</v>
      </c>
    </row>
    <row r="10" spans="1:4" ht="13.5">
      <c r="A10" s="78" t="s">
        <v>132</v>
      </c>
      <c r="B10" s="78">
        <v>30</v>
      </c>
      <c r="C10" s="78">
        <v>10</v>
      </c>
      <c r="D10" s="78" t="s">
        <v>20</v>
      </c>
    </row>
    <row r="11" spans="1:4" ht="13.5">
      <c r="A11" s="78" t="s">
        <v>80</v>
      </c>
      <c r="B11" s="78">
        <v>24</v>
      </c>
      <c r="C11" s="78">
        <v>8</v>
      </c>
      <c r="D11" s="78" t="s">
        <v>62</v>
      </c>
    </row>
    <row r="12" spans="1:4" ht="13.5">
      <c r="A12" s="78" t="s">
        <v>70</v>
      </c>
      <c r="B12" s="78">
        <v>32</v>
      </c>
      <c r="C12" s="78">
        <v>8</v>
      </c>
      <c r="D12" s="78" t="s">
        <v>62</v>
      </c>
    </row>
    <row r="13" spans="1:4" ht="14.25" customHeight="1">
      <c r="A13" s="78" t="s">
        <v>72</v>
      </c>
      <c r="B13" s="78">
        <v>32</v>
      </c>
      <c r="C13" s="78">
        <v>8</v>
      </c>
      <c r="D13" s="78" t="s">
        <v>62</v>
      </c>
    </row>
    <row r="14" spans="1:4" ht="13.5">
      <c r="A14" s="78" t="s">
        <v>74</v>
      </c>
      <c r="B14" s="78">
        <v>32</v>
      </c>
      <c r="C14" s="78">
        <v>8</v>
      </c>
      <c r="D14" s="78" t="s">
        <v>60</v>
      </c>
    </row>
    <row r="15" spans="1:4" ht="13.5">
      <c r="A15" s="78" t="s">
        <v>75</v>
      </c>
      <c r="B15" s="78">
        <v>32</v>
      </c>
      <c r="C15" s="78">
        <v>8</v>
      </c>
      <c r="D15" s="78" t="s">
        <v>60</v>
      </c>
    </row>
    <row r="16" spans="1:4" ht="13.5">
      <c r="A16" s="78" t="s">
        <v>131</v>
      </c>
      <c r="B16" s="78">
        <v>18</v>
      </c>
      <c r="C16" s="78">
        <v>9</v>
      </c>
      <c r="D16" s="78" t="s">
        <v>19</v>
      </c>
    </row>
    <row r="17" spans="1:4" ht="14.25" customHeight="1">
      <c r="A17" s="78" t="s">
        <v>63</v>
      </c>
      <c r="B17" s="78">
        <v>16</v>
      </c>
      <c r="C17" s="78">
        <v>8</v>
      </c>
      <c r="D17" s="78" t="s">
        <v>62</v>
      </c>
    </row>
    <row r="18" spans="1:4" ht="14.25" customHeight="1">
      <c r="A18" s="78" t="s">
        <v>115</v>
      </c>
      <c r="B18" s="78">
        <v>16</v>
      </c>
      <c r="C18" s="78">
        <v>8</v>
      </c>
      <c r="D18" s="78" t="s">
        <v>62</v>
      </c>
    </row>
    <row r="19" spans="1:4" ht="14.25" customHeight="1">
      <c r="A19" s="78" t="s">
        <v>61</v>
      </c>
      <c r="B19" s="78">
        <v>16</v>
      </c>
      <c r="C19" s="78">
        <v>8</v>
      </c>
      <c r="D19" s="78" t="s">
        <v>60</v>
      </c>
    </row>
    <row r="20" spans="1:4" ht="13.5">
      <c r="A20" s="78" t="s">
        <v>119</v>
      </c>
      <c r="B20" s="78">
        <v>8</v>
      </c>
      <c r="C20" s="78">
        <v>8</v>
      </c>
      <c r="D20" s="78" t="s">
        <v>62</v>
      </c>
    </row>
    <row r="21" spans="1:4" ht="13.5">
      <c r="A21" s="78" t="s">
        <v>65</v>
      </c>
      <c r="B21" s="78">
        <v>8</v>
      </c>
      <c r="C21" s="78">
        <v>8</v>
      </c>
      <c r="D21" s="78" t="s">
        <v>60</v>
      </c>
    </row>
    <row r="22" spans="1:4" ht="13.5">
      <c r="A22" s="78" t="s">
        <v>66</v>
      </c>
      <c r="B22" s="78">
        <v>160</v>
      </c>
      <c r="C22" s="78">
        <v>8</v>
      </c>
      <c r="D22" s="78" t="s">
        <v>62</v>
      </c>
    </row>
    <row r="23" spans="1:4" ht="13.5">
      <c r="A23" s="78" t="s">
        <v>216</v>
      </c>
      <c r="B23" s="78">
        <v>96</v>
      </c>
      <c r="C23" s="78">
        <v>8</v>
      </c>
      <c r="D23" s="78" t="s">
        <v>62</v>
      </c>
    </row>
    <row r="24" spans="1:4" ht="13.5">
      <c r="A24" s="78" t="s">
        <v>124</v>
      </c>
      <c r="B24" s="78">
        <v>96</v>
      </c>
      <c r="C24" s="78">
        <v>8</v>
      </c>
      <c r="D24" s="78" t="s">
        <v>62</v>
      </c>
    </row>
    <row r="25" spans="1:4" ht="13.5">
      <c r="A25" s="78" t="s">
        <v>125</v>
      </c>
      <c r="B25" s="78">
        <v>96</v>
      </c>
      <c r="C25" s="78">
        <v>8</v>
      </c>
      <c r="D25" s="78" t="s">
        <v>117</v>
      </c>
    </row>
    <row r="26" spans="1:4" ht="14.25" customHeight="1">
      <c r="A26" s="78" t="s">
        <v>76</v>
      </c>
      <c r="B26" s="78">
        <v>100</v>
      </c>
      <c r="C26" s="78">
        <v>10</v>
      </c>
      <c r="D26" s="78" t="s">
        <v>20</v>
      </c>
    </row>
    <row r="27" spans="1:4" ht="14.25" customHeight="1">
      <c r="A27" s="78" t="s">
        <v>213</v>
      </c>
      <c r="B27" s="78">
        <v>60</v>
      </c>
      <c r="C27" s="78">
        <v>6</v>
      </c>
      <c r="D27" s="78" t="s">
        <v>214</v>
      </c>
    </row>
    <row r="28" spans="1:4" ht="13.5">
      <c r="A28" s="78" t="s">
        <v>67</v>
      </c>
      <c r="B28" s="78">
        <v>54</v>
      </c>
      <c r="C28" s="78">
        <v>9</v>
      </c>
      <c r="D28" s="78" t="s">
        <v>19</v>
      </c>
    </row>
    <row r="29" spans="1:4" ht="14.25" customHeight="1">
      <c r="A29" s="78" t="s">
        <v>68</v>
      </c>
      <c r="B29" s="78">
        <v>54</v>
      </c>
      <c r="C29" s="78">
        <v>9</v>
      </c>
      <c r="D29" s="78" t="s">
        <v>19</v>
      </c>
    </row>
    <row r="30" spans="1:4" ht="14.25" customHeight="1">
      <c r="A30" s="78" t="s">
        <v>118</v>
      </c>
      <c r="B30" s="78">
        <v>48</v>
      </c>
      <c r="C30" s="78">
        <v>8</v>
      </c>
      <c r="D30" s="78" t="s">
        <v>62</v>
      </c>
    </row>
    <row r="31" spans="1:4" ht="14.25" customHeight="1">
      <c r="A31" s="78" t="s">
        <v>73</v>
      </c>
      <c r="B31" s="78">
        <v>48</v>
      </c>
      <c r="C31" s="78">
        <v>8</v>
      </c>
      <c r="D31" s="78" t="s">
        <v>62</v>
      </c>
    </row>
    <row r="32" spans="1:4" ht="14.25" customHeight="1">
      <c r="A32" s="78" t="s">
        <v>77</v>
      </c>
      <c r="B32" s="78">
        <v>48</v>
      </c>
      <c r="C32" s="78">
        <v>8</v>
      </c>
      <c r="D32" s="78" t="s">
        <v>62</v>
      </c>
    </row>
    <row r="33" spans="1:4" ht="14.25" customHeight="1">
      <c r="A33" s="78" t="s">
        <v>218</v>
      </c>
      <c r="B33" s="78">
        <v>40</v>
      </c>
      <c r="C33" s="78">
        <v>10</v>
      </c>
      <c r="D33" s="78" t="s">
        <v>20</v>
      </c>
    </row>
    <row r="34" spans="1:4" ht="14.25" customHeight="1">
      <c r="A34" s="78" t="s">
        <v>78</v>
      </c>
      <c r="B34" s="78">
        <v>48</v>
      </c>
      <c r="C34" s="78">
        <v>8</v>
      </c>
      <c r="D34" s="78" t="s">
        <v>60</v>
      </c>
    </row>
    <row r="35" spans="1:4" ht="14.25" customHeight="1">
      <c r="A35" s="78" t="s">
        <v>123</v>
      </c>
      <c r="B35" s="78">
        <v>64</v>
      </c>
      <c r="C35" s="78">
        <v>8</v>
      </c>
      <c r="D35" s="78" t="s">
        <v>62</v>
      </c>
    </row>
    <row r="36" spans="1:4" ht="14.25" customHeight="1">
      <c r="A36" s="78" t="s">
        <v>69</v>
      </c>
      <c r="B36" s="78">
        <v>48</v>
      </c>
      <c r="C36" s="78">
        <v>6</v>
      </c>
      <c r="D36" s="78" t="s">
        <v>82</v>
      </c>
    </row>
  </sheetData>
  <sheetProtection password="A392" sheet="1" objects="1" scenarios="1" selectLockedCells="1" selectUnlockedCells="1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9.00390625" style="1" customWidth="1"/>
    <col min="2" max="2" width="10.7109375" style="1" customWidth="1"/>
    <col min="3" max="3" width="10.00390625" style="1" customWidth="1"/>
    <col min="4" max="4" width="9.421875" style="1" customWidth="1"/>
    <col min="5" max="5" width="10.421875" style="1" customWidth="1"/>
    <col min="6" max="6" width="10.57421875" style="1" customWidth="1"/>
    <col min="7" max="16384" width="9.00390625" style="1" customWidth="1"/>
  </cols>
  <sheetData>
    <row r="1" spans="1:8" ht="13.5">
      <c r="A1" s="27"/>
      <c r="B1" s="27"/>
      <c r="C1" s="127" t="s">
        <v>112</v>
      </c>
      <c r="D1" s="127"/>
      <c r="E1" s="127"/>
      <c r="F1" s="81"/>
      <c r="G1" s="27"/>
      <c r="H1" s="27"/>
    </row>
    <row r="2" spans="1:8" ht="13.5">
      <c r="A2" s="27"/>
      <c r="B2" s="27"/>
      <c r="C2" s="127"/>
      <c r="D2" s="127"/>
      <c r="E2" s="127"/>
      <c r="F2" s="81"/>
      <c r="G2" s="27"/>
      <c r="H2" s="27"/>
    </row>
    <row r="3" spans="1:8" ht="14.25">
      <c r="A3" s="27"/>
      <c r="B3" s="28" t="s">
        <v>90</v>
      </c>
      <c r="C3" s="28" t="s">
        <v>84</v>
      </c>
      <c r="D3" s="28" t="s">
        <v>85</v>
      </c>
      <c r="E3" s="28" t="s">
        <v>86</v>
      </c>
      <c r="F3" s="28" t="s">
        <v>109</v>
      </c>
      <c r="G3" s="28" t="s">
        <v>114</v>
      </c>
      <c r="H3" s="27"/>
    </row>
    <row r="4" spans="1:8" ht="13.5">
      <c r="A4" s="27"/>
      <c r="B4" s="1" t="s">
        <v>61</v>
      </c>
      <c r="C4" s="1" t="s">
        <v>121</v>
      </c>
      <c r="D4" s="1">
        <v>1000</v>
      </c>
      <c r="E4" s="1">
        <v>2</v>
      </c>
      <c r="F4" s="1" t="s">
        <v>120</v>
      </c>
      <c r="G4" s="1">
        <v>0</v>
      </c>
      <c r="H4" s="27"/>
    </row>
    <row r="5" spans="1:8" ht="14.25">
      <c r="A5" s="27"/>
      <c r="B5" s="26" t="s">
        <v>91</v>
      </c>
      <c r="C5" s="1">
        <f>(D4/D6+25)*E6</f>
        <v>41.125</v>
      </c>
      <c r="D5" s="26" t="s">
        <v>94</v>
      </c>
      <c r="E5" s="26" t="s">
        <v>95</v>
      </c>
      <c r="F5" s="26" t="s">
        <v>96</v>
      </c>
      <c r="G5" s="27"/>
      <c r="H5" s="27"/>
    </row>
    <row r="6" spans="1:8" ht="14.25">
      <c r="A6" s="27"/>
      <c r="B6" s="26" t="s">
        <v>92</v>
      </c>
      <c r="C6" s="1">
        <f>IF(AND(D6/E7&gt;=1,E7=8),IF(D6/E7&gt;=1,40,40*E4),IF(D6/E7&gt;=1,80,80*E4))</f>
        <v>40</v>
      </c>
      <c r="D6" s="1">
        <f>VLOOKUP(B4,'宣传单尺寸'!A1:D256,2,FALSE)</f>
        <v>16</v>
      </c>
      <c r="E6" s="1">
        <f>VLOOKUP(C4,'纸张价格'!A21:B263,2,FALSE)</f>
        <v>0.47</v>
      </c>
      <c r="F6" s="30">
        <f>IF(D4/(D6/E7)*E4/1000&lt;=1,1,D4/(D6/E7)*E4/1000)</f>
        <v>1</v>
      </c>
      <c r="G6" s="27"/>
      <c r="H6" s="27"/>
    </row>
    <row r="7" spans="1:8" ht="14.25">
      <c r="A7" s="27"/>
      <c r="B7" s="26" t="s">
        <v>93</v>
      </c>
      <c r="C7" s="1">
        <f>IF(E7=8,(F6-1)*20+80,(F6-1)*20+180)</f>
        <v>80</v>
      </c>
      <c r="D7" s="29" t="s">
        <v>108</v>
      </c>
      <c r="E7" s="29">
        <f>IF(AND((D4/(D6/8)*E4)/1000&lt;=10,D6&gt;=8),8,4)</f>
        <v>8</v>
      </c>
      <c r="F7" s="28"/>
      <c r="G7" s="27"/>
      <c r="H7" s="27"/>
    </row>
    <row r="8" spans="1:8" ht="14.25">
      <c r="A8" s="27"/>
      <c r="B8" s="29" t="s">
        <v>106</v>
      </c>
      <c r="C8" s="1">
        <f>IF(F4="是",50*E4,0)</f>
        <v>100</v>
      </c>
      <c r="D8" s="27"/>
      <c r="E8" s="27"/>
      <c r="F8" s="27"/>
      <c r="G8" s="27"/>
      <c r="H8" s="27"/>
    </row>
    <row r="9" spans="1:8" ht="14.25">
      <c r="A9" s="27"/>
      <c r="B9" s="29" t="s">
        <v>113</v>
      </c>
      <c r="C9" s="1">
        <f>G4*D4*0.01</f>
        <v>0</v>
      </c>
      <c r="D9" s="32" t="s">
        <v>103</v>
      </c>
      <c r="E9" s="32" t="s">
        <v>105</v>
      </c>
      <c r="F9" s="32" t="s">
        <v>104</v>
      </c>
      <c r="G9" s="27"/>
      <c r="H9" s="27"/>
    </row>
    <row r="10" spans="1:8" ht="19.5">
      <c r="A10" s="27"/>
      <c r="B10" s="28" t="s">
        <v>107</v>
      </c>
      <c r="C10" s="31">
        <f>SUM(C5:C9)</f>
        <v>261.125</v>
      </c>
      <c r="D10" s="31">
        <f>C10/D4</f>
        <v>0.261125</v>
      </c>
      <c r="E10" s="33">
        <f>D10*1.15</f>
        <v>0.3</v>
      </c>
      <c r="F10" s="33">
        <f>E10*1.08</f>
        <v>0.32</v>
      </c>
      <c r="G10" s="27"/>
      <c r="H10" s="27"/>
    </row>
    <row r="11" spans="1:8" ht="13.5">
      <c r="A11" s="27"/>
      <c r="B11" s="27"/>
      <c r="C11" s="27"/>
      <c r="D11" s="27"/>
      <c r="E11" s="27"/>
      <c r="F11" s="27"/>
      <c r="G11" s="27"/>
      <c r="H11" s="27"/>
    </row>
    <row r="13" spans="2:6" ht="24.75" customHeight="1">
      <c r="B13" s="128" t="s">
        <v>219</v>
      </c>
      <c r="C13" s="129"/>
      <c r="D13" s="129"/>
      <c r="E13" s="129"/>
      <c r="F13" s="129"/>
    </row>
  </sheetData>
  <sheetProtection password="A392" sheet="1" objects="1" scenarios="1" selectLockedCells="1" selectUnlockedCells="1"/>
  <mergeCells count="2">
    <mergeCell ref="C1:F2"/>
    <mergeCell ref="B13:F13"/>
  </mergeCells>
  <dataValidations count="5">
    <dataValidation type="list" allowBlank="1" showInputMessage="1" showErrorMessage="1" sqref="B4">
      <formula1>"105*140mm,,130*185mm,140*210mm,185*260mm,210*285mm,260*370mm,285*420mm,370*520mm,420*570mm,90*130mm,68*200mm,68*420mm"</formula1>
    </dataValidation>
    <dataValidation type="list" allowBlank="1" showInputMessage="1" showErrorMessage="1" sqref="C4">
      <formula1>"65克青涂正,65克青涂大,70克青涂正,70克青涂大,80克双胶大,80克铜正,80克铜大,105克铜正,105克铜大,128克铜正,128克铜大,157克铜正,157克铜大,200克铜正,200克铜大,250克铜正,250克铜大,300克铜正,300克铜大"</formula1>
    </dataValidation>
    <dataValidation type="list" allowBlank="1" showInputMessage="1" showErrorMessage="1" sqref="E4">
      <formula1>"1,2"</formula1>
    </dataValidation>
    <dataValidation type="list" allowBlank="1" showInputMessage="1" showErrorMessage="1" sqref="F4">
      <formula1>"是,否"</formula1>
    </dataValidation>
    <dataValidation type="list" allowBlank="1" showInputMessage="1" showErrorMessage="1" sqref="G4">
      <formula1>"0,1,2,3,4"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0.421875" style="1" customWidth="1"/>
    <col min="2" max="16384" width="9.00390625" style="1" customWidth="1"/>
  </cols>
  <sheetData>
    <row r="1" spans="1:2" ht="13.5">
      <c r="A1" s="78" t="s">
        <v>88</v>
      </c>
      <c r="B1" s="78" t="s">
        <v>87</v>
      </c>
    </row>
    <row r="2" spans="1:2" ht="13.5">
      <c r="A2" s="78" t="s">
        <v>97</v>
      </c>
      <c r="B2" s="78">
        <v>64</v>
      </c>
    </row>
    <row r="3" spans="1:2" ht="13.5">
      <c r="A3" s="78" t="s">
        <v>70</v>
      </c>
      <c r="B3" s="78">
        <v>32</v>
      </c>
    </row>
    <row r="4" spans="1:2" ht="13.5">
      <c r="A4" s="78" t="s">
        <v>74</v>
      </c>
      <c r="B4" s="78">
        <v>32</v>
      </c>
    </row>
    <row r="5" spans="1:2" ht="13.5">
      <c r="A5" s="78" t="s">
        <v>99</v>
      </c>
      <c r="B5" s="78">
        <v>16</v>
      </c>
    </row>
    <row r="6" spans="1:2" ht="13.5">
      <c r="A6" s="78" t="s">
        <v>89</v>
      </c>
      <c r="B6" s="78">
        <v>16</v>
      </c>
    </row>
    <row r="7" spans="1:2" ht="13.5">
      <c r="A7" s="78" t="s">
        <v>102</v>
      </c>
      <c r="B7" s="78">
        <v>8</v>
      </c>
    </row>
    <row r="8" spans="1:2" ht="13.5">
      <c r="A8" s="78" t="s">
        <v>65</v>
      </c>
      <c r="B8" s="78">
        <v>8</v>
      </c>
    </row>
    <row r="9" spans="1:2" ht="13.5">
      <c r="A9" s="78" t="s">
        <v>101</v>
      </c>
      <c r="B9" s="78">
        <v>4</v>
      </c>
    </row>
    <row r="10" spans="1:2" ht="13.5">
      <c r="A10" s="78" t="s">
        <v>98</v>
      </c>
      <c r="B10" s="78">
        <v>4</v>
      </c>
    </row>
    <row r="11" spans="1:2" ht="13.5">
      <c r="A11" s="78" t="s">
        <v>111</v>
      </c>
      <c r="B11" s="78">
        <v>64</v>
      </c>
    </row>
    <row r="12" spans="1:2" ht="13.5">
      <c r="A12" s="78" t="s">
        <v>110</v>
      </c>
      <c r="B12" s="78">
        <v>32</v>
      </c>
    </row>
    <row r="13" spans="1:2" ht="13.5">
      <c r="A13" s="78" t="s">
        <v>100</v>
      </c>
      <c r="B13" s="78">
        <v>64</v>
      </c>
    </row>
  </sheetData>
  <sheetProtection password="A392" sheet="1" objects="1" scenarios="1" selectLockedCells="1" selectUnlockedCell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:C41"/>
    </sheetView>
  </sheetViews>
  <sheetFormatPr defaultColWidth="9.140625" defaultRowHeight="14.25" customHeight="1"/>
  <cols>
    <col min="1" max="1" width="12.421875" style="1" customWidth="1"/>
    <col min="2" max="3" width="9.00390625" style="1" customWidth="1"/>
    <col min="4" max="4" width="14.421875" style="1" customWidth="1"/>
    <col min="5" max="5" width="14.57421875" style="1" customWidth="1"/>
    <col min="6" max="6" width="18.57421875" style="1" customWidth="1"/>
    <col min="7" max="16384" width="9.00390625" style="1" customWidth="1"/>
  </cols>
  <sheetData>
    <row r="1" spans="1:3" ht="13.5">
      <c r="A1" s="78" t="s">
        <v>39</v>
      </c>
      <c r="B1" s="78" t="s">
        <v>40</v>
      </c>
      <c r="C1" s="78" t="s">
        <v>41</v>
      </c>
    </row>
    <row r="2" spans="1:3" ht="13.5">
      <c r="A2" s="79" t="s">
        <v>220</v>
      </c>
      <c r="B2" s="78">
        <v>373</v>
      </c>
      <c r="C2" s="78">
        <v>373</v>
      </c>
    </row>
    <row r="3" spans="1:3" ht="13.5">
      <c r="A3" s="78" t="s">
        <v>221</v>
      </c>
      <c r="B3" s="78">
        <v>0.84</v>
      </c>
      <c r="C3" s="78"/>
    </row>
    <row r="4" spans="1:3" ht="13.5">
      <c r="A4" s="78" t="s">
        <v>222</v>
      </c>
      <c r="B4" s="78">
        <v>0.68</v>
      </c>
      <c r="C4" s="78"/>
    </row>
    <row r="5" spans="1:3" ht="14.25" customHeight="1">
      <c r="A5" s="78" t="s">
        <v>223</v>
      </c>
      <c r="B5" s="78">
        <v>1</v>
      </c>
      <c r="C5" s="78"/>
    </row>
    <row r="6" spans="1:3" ht="14.25" customHeight="1">
      <c r="A6" s="78" t="s">
        <v>224</v>
      </c>
      <c r="B6" s="78">
        <v>0.8</v>
      </c>
      <c r="C6" s="78"/>
    </row>
    <row r="7" spans="1:3" ht="14.25" customHeight="1">
      <c r="A7" s="78" t="s">
        <v>225</v>
      </c>
      <c r="B7" s="78">
        <v>1.2</v>
      </c>
      <c r="C7" s="78"/>
    </row>
    <row r="8" spans="1:3" ht="14.25" customHeight="1">
      <c r="A8" s="78" t="s">
        <v>226</v>
      </c>
      <c r="B8" s="78">
        <v>1</v>
      </c>
      <c r="C8" s="78"/>
    </row>
    <row r="9" spans="1:3" ht="13.5">
      <c r="A9" s="78" t="s">
        <v>227</v>
      </c>
      <c r="B9" s="78">
        <v>1.53</v>
      </c>
      <c r="C9" s="78"/>
    </row>
    <row r="10" spans="1:3" ht="14.25" customHeight="1">
      <c r="A10" s="78" t="s">
        <v>228</v>
      </c>
      <c r="B10" s="78">
        <v>1.25</v>
      </c>
      <c r="C10" s="78"/>
    </row>
    <row r="11" spans="1:3" ht="13.5">
      <c r="A11" s="78" t="s">
        <v>229</v>
      </c>
      <c r="B11" s="78">
        <v>1.91</v>
      </c>
      <c r="C11" s="78"/>
    </row>
    <row r="12" spans="1:3" ht="13.5">
      <c r="A12" s="78" t="s">
        <v>230</v>
      </c>
      <c r="B12" s="78">
        <v>1.55</v>
      </c>
      <c r="C12" s="78"/>
    </row>
    <row r="13" spans="1:3" ht="13.5">
      <c r="A13" s="79" t="s">
        <v>231</v>
      </c>
      <c r="B13" s="78">
        <v>105</v>
      </c>
      <c r="C13" s="78">
        <v>105</v>
      </c>
    </row>
    <row r="14" spans="1:3" ht="14.25" customHeight="1">
      <c r="A14" s="78" t="s">
        <v>232</v>
      </c>
      <c r="B14" s="78">
        <v>2.3</v>
      </c>
      <c r="C14" s="78"/>
    </row>
    <row r="15" spans="1:3" ht="13.5">
      <c r="A15" s="78" t="s">
        <v>233</v>
      </c>
      <c r="B15" s="78">
        <v>1.86</v>
      </c>
      <c r="C15" s="78"/>
    </row>
    <row r="16" spans="1:3" ht="13.5">
      <c r="A16" s="78" t="s">
        <v>234</v>
      </c>
      <c r="B16" s="78">
        <v>110</v>
      </c>
      <c r="C16" s="78">
        <v>110</v>
      </c>
    </row>
    <row r="17" spans="1:3" ht="13.5">
      <c r="A17" s="78" t="s">
        <v>235</v>
      </c>
      <c r="B17" s="78">
        <v>145</v>
      </c>
      <c r="C17" s="78">
        <v>145</v>
      </c>
    </row>
    <row r="18" spans="1:3" ht="13.5">
      <c r="A18" s="78" t="s">
        <v>236</v>
      </c>
      <c r="B18" s="78">
        <v>160</v>
      </c>
      <c r="C18" s="78">
        <v>160</v>
      </c>
    </row>
    <row r="19" spans="1:3" ht="14.25" customHeight="1">
      <c r="A19" s="78" t="s">
        <v>237</v>
      </c>
      <c r="B19" s="78">
        <v>140</v>
      </c>
      <c r="C19" s="78">
        <v>140</v>
      </c>
    </row>
    <row r="20" spans="1:3" ht="14.25" customHeight="1">
      <c r="A20" s="78" t="s">
        <v>238</v>
      </c>
      <c r="B20" s="78">
        <v>196</v>
      </c>
      <c r="C20" s="78">
        <v>196</v>
      </c>
    </row>
    <row r="21" spans="1:3" ht="14.25" customHeight="1">
      <c r="A21" s="78" t="s">
        <v>239</v>
      </c>
      <c r="B21" s="78">
        <v>114</v>
      </c>
      <c r="C21" s="78">
        <v>114</v>
      </c>
    </row>
    <row r="22" spans="1:3" ht="14.25" customHeight="1">
      <c r="A22" s="78" t="s">
        <v>240</v>
      </c>
      <c r="B22" s="78">
        <v>210</v>
      </c>
      <c r="C22" s="78">
        <v>210</v>
      </c>
    </row>
    <row r="23" spans="1:3" ht="14.25" customHeight="1">
      <c r="A23" s="78" t="s">
        <v>241</v>
      </c>
      <c r="B23" s="78">
        <v>165</v>
      </c>
      <c r="C23" s="78">
        <v>165</v>
      </c>
    </row>
    <row r="24" spans="1:3" ht="14.25" customHeight="1">
      <c r="A24" s="78" t="s">
        <v>242</v>
      </c>
      <c r="B24" s="78">
        <v>0.47</v>
      </c>
      <c r="C24" s="78"/>
    </row>
    <row r="25" spans="1:3" ht="14.25" customHeight="1">
      <c r="A25" s="78" t="s">
        <v>243</v>
      </c>
      <c r="B25" s="78">
        <v>0.38</v>
      </c>
      <c r="C25" s="78"/>
    </row>
    <row r="26" spans="1:3" ht="14.25" customHeight="1">
      <c r="A26" s="78" t="s">
        <v>244</v>
      </c>
      <c r="B26" s="78">
        <v>0.51</v>
      </c>
      <c r="C26" s="78"/>
    </row>
    <row r="27" spans="1:3" ht="14.25" customHeight="1">
      <c r="A27" s="78" t="s">
        <v>245</v>
      </c>
      <c r="B27" s="78">
        <v>0.41</v>
      </c>
      <c r="C27" s="78"/>
    </row>
    <row r="28" spans="1:3" ht="14.25" customHeight="1">
      <c r="A28" s="78" t="s">
        <v>246</v>
      </c>
      <c r="B28" s="78">
        <v>235</v>
      </c>
      <c r="C28" s="78">
        <v>235</v>
      </c>
    </row>
    <row r="29" spans="1:3" ht="14.25" customHeight="1">
      <c r="A29" s="78" t="s">
        <v>247</v>
      </c>
      <c r="B29" s="78">
        <v>185</v>
      </c>
      <c r="C29" s="78">
        <v>185</v>
      </c>
    </row>
    <row r="30" spans="1:3" ht="14.25" customHeight="1">
      <c r="A30" s="78" t="s">
        <v>248</v>
      </c>
      <c r="B30" s="78">
        <v>0.59</v>
      </c>
      <c r="C30" s="78"/>
    </row>
    <row r="31" spans="1:3" ht="14.25" customHeight="1">
      <c r="A31" s="78" t="s">
        <v>249</v>
      </c>
      <c r="B31" s="78">
        <v>225</v>
      </c>
      <c r="C31" s="78"/>
    </row>
    <row r="32" spans="1:3" ht="14.25" customHeight="1">
      <c r="A32" s="78" t="s">
        <v>250</v>
      </c>
      <c r="B32" s="78">
        <v>0.64</v>
      </c>
      <c r="C32" s="78"/>
    </row>
    <row r="33" spans="1:3" ht="14.25" customHeight="1">
      <c r="A33" s="78" t="s">
        <v>251</v>
      </c>
      <c r="B33" s="78">
        <v>0.52</v>
      </c>
      <c r="C33" s="78"/>
    </row>
    <row r="34" spans="1:3" ht="14.25" customHeight="1">
      <c r="A34" s="79" t="s">
        <v>14</v>
      </c>
      <c r="B34" s="78">
        <v>194</v>
      </c>
      <c r="C34" s="78">
        <v>254</v>
      </c>
    </row>
    <row r="35" spans="1:3" ht="14.25" customHeight="1">
      <c r="A35" s="79" t="s">
        <v>11</v>
      </c>
      <c r="B35" s="79">
        <v>147</v>
      </c>
      <c r="C35" s="79">
        <v>190</v>
      </c>
    </row>
    <row r="36" spans="1:3" ht="14.25" customHeight="1">
      <c r="A36" s="78" t="s">
        <v>252</v>
      </c>
      <c r="B36" s="79">
        <v>147</v>
      </c>
      <c r="C36" s="79">
        <v>160</v>
      </c>
    </row>
    <row r="37" spans="1:3" ht="14.25" customHeight="1">
      <c r="A37" s="78" t="s">
        <v>253</v>
      </c>
      <c r="B37" s="79">
        <v>224</v>
      </c>
      <c r="C37" s="79">
        <v>254</v>
      </c>
    </row>
    <row r="38" spans="1:3" ht="14.25" customHeight="1">
      <c r="A38" s="79" t="s">
        <v>15</v>
      </c>
      <c r="B38" s="78">
        <v>224</v>
      </c>
      <c r="C38" s="78">
        <v>276</v>
      </c>
    </row>
    <row r="39" spans="1:3" ht="14.25" customHeight="1">
      <c r="A39" s="79" t="s">
        <v>12</v>
      </c>
      <c r="B39" s="79">
        <v>172</v>
      </c>
      <c r="C39" s="79">
        <v>220</v>
      </c>
    </row>
    <row r="40" spans="1:3" ht="14.25" customHeight="1">
      <c r="A40" s="79" t="s">
        <v>13</v>
      </c>
      <c r="B40" s="78">
        <v>0</v>
      </c>
      <c r="C40" s="78">
        <v>0</v>
      </c>
    </row>
    <row r="41" spans="1:3" ht="14.25" customHeight="1">
      <c r="A41" s="79" t="s">
        <v>10</v>
      </c>
      <c r="B41" s="79">
        <v>130</v>
      </c>
      <c r="C41" s="79">
        <v>160</v>
      </c>
    </row>
  </sheetData>
  <sheetProtection password="A39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2011-12-30T07:00:12Z</cp:lastPrinted>
  <dcterms:created xsi:type="dcterms:W3CDTF">2011-05-12T09:27:12Z</dcterms:created>
  <dcterms:modified xsi:type="dcterms:W3CDTF">2012-03-10T01:57:51Z</dcterms:modified>
  <cp:category/>
  <cp:version/>
  <cp:contentType/>
  <cp:contentStatus/>
</cp:coreProperties>
</file>